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91" windowWidth="15450" windowHeight="11640" tabRatio="903" firstSheet="4" activeTab="14"/>
  </bookViews>
  <sheets>
    <sheet name="TOC" sheetId="1" r:id="rId1"/>
    <sheet name="Schedule A" sheetId="2" r:id="rId2"/>
    <sheet name="Schedule A-1" sheetId="3" r:id="rId3"/>
    <sheet name="Schedule A-2" sheetId="4" r:id="rId4"/>
    <sheet name="Schedule B" sheetId="5" r:id="rId5"/>
    <sheet name="Schedule B-1" sheetId="6" r:id="rId6"/>
    <sheet name="Schedule B-2" sheetId="7" r:id="rId7"/>
    <sheet name="Schedule C" sheetId="8" r:id="rId8"/>
    <sheet name="Schedule C-1" sheetId="9" r:id="rId9"/>
    <sheet name="WP C-1" sheetId="10" r:id="rId10"/>
    <sheet name="Schedule D" sheetId="11" r:id="rId11"/>
    <sheet name="Schedule D-1" sheetId="12" r:id="rId12"/>
    <sheet name="Schedule D-2" sheetId="13" r:id="rId13"/>
    <sheet name="Schedule E" sheetId="14" r:id="rId14"/>
    <sheet name="Schedule F" sheetId="15" r:id="rId15"/>
    <sheet name="Schedule F-1" sheetId="16" r:id="rId16"/>
    <sheet name="Schedule F-2" sheetId="17" r:id="rId17"/>
    <sheet name="WP1-Sch B" sheetId="18" r:id="rId18"/>
    <sheet name="WP1 Sch B-1" sheetId="19" r:id="rId19"/>
    <sheet name="WP2 Sch B-1" sheetId="20" r:id="rId20"/>
    <sheet name="WP1-Sch B-2" sheetId="21" r:id="rId21"/>
    <sheet name="WP1 Sch C" sheetId="22" r:id="rId22"/>
    <sheet name="WP2 Sch C" sheetId="23" r:id="rId23"/>
    <sheet name="WP1 Sch D-1" sheetId="24" r:id="rId24"/>
    <sheet name="WP2 Sch D-1" sheetId="25" r:id="rId25"/>
  </sheets>
  <externalReferences>
    <externalReference r:id="rId28"/>
  </externalReferences>
  <definedNames>
    <definedName name="_xlnm.Print_Area" localSheetId="1">'Schedule A'!$A$1:$M$27</definedName>
    <definedName name="_xlnm.Print_Area" localSheetId="2">'Schedule A-1'!$A$1:$U$44</definedName>
    <definedName name="_xlnm.Print_Area" localSheetId="3">'Schedule A-2'!$A$1:$K$25</definedName>
    <definedName name="_xlnm.Print_Area" localSheetId="4">'Schedule B'!$A$1:$G$50</definedName>
    <definedName name="_xlnm.Print_Area" localSheetId="5">'Schedule B-1'!$A$1:$J$35</definedName>
    <definedName name="_xlnm.Print_Area" localSheetId="6">'Schedule B-2'!$A$1:$F$31</definedName>
    <definedName name="_xlnm.Print_Area" localSheetId="7">'Schedule C'!$A$1:$N$56</definedName>
    <definedName name="_xlnm.Print_Area" localSheetId="8">'Schedule C-1'!$A$1:$O$48</definedName>
    <definedName name="_xlnm.Print_Area" localSheetId="10">'Schedule D'!$A$1:$M$30</definedName>
    <definedName name="_xlnm.Print_Area" localSheetId="11">'Schedule D-1'!$A$1:$O$47</definedName>
    <definedName name="_xlnm.Print_Area" localSheetId="12">'Schedule D-2'!$A$1:$Q$40</definedName>
    <definedName name="_xlnm.Print_Area" localSheetId="13">'Schedule E'!$A$1:$L$24</definedName>
    <definedName name="_xlnm.Print_Area" localSheetId="14">'Schedule F'!$B$48:$P$93,'Schedule F'!$B$1:$P$46</definedName>
    <definedName name="_xlnm.Print_Area" localSheetId="15">'Schedule F-1'!$A$1:$AD$40</definedName>
    <definedName name="_xlnm.Print_Area" localSheetId="16">'Schedule F-2'!$A$1:$H$26</definedName>
    <definedName name="_xlnm.Print_Area" localSheetId="0">'TOC'!$A$1:$C$40</definedName>
    <definedName name="_xlnm.Print_Area" localSheetId="9">'WP C-1'!$B$1:$T$41</definedName>
    <definedName name="_xlnm.Print_Area" localSheetId="23">'WP1 Sch D-1'!$A$4:$AA$86</definedName>
    <definedName name="_xlnm.Print_Area" localSheetId="17">'WP1-Sch B'!$A$1:$E$60</definedName>
    <definedName name="_xlnm.Print_Area" localSheetId="24">'WP2 Sch D-1'!$A$1:$K$58</definedName>
    <definedName name="_xlnm.Print_Area">'/44616\002\Model\[Rate Filing Adjustments.xls]WP3 Sch B'!$A$1:$I$245</definedName>
  </definedNames>
  <calcPr fullCalcOnLoad="1"/>
</workbook>
</file>

<file path=xl/sharedStrings.xml><?xml version="1.0" encoding="utf-8"?>
<sst xmlns="http://schemas.openxmlformats.org/spreadsheetml/2006/main" count="1540" uniqueCount="736">
  <si>
    <t>Magnolia, City</t>
  </si>
  <si>
    <t>Base</t>
  </si>
  <si>
    <t>New Rates</t>
  </si>
  <si>
    <t>Normalize</t>
  </si>
  <si>
    <t>Increment to</t>
  </si>
  <si>
    <t>institition of service</t>
  </si>
  <si>
    <t>turn ons &amp; offs all categories</t>
  </si>
  <si>
    <t>Incr. to</t>
  </si>
  <si>
    <t xml:space="preserve">cola </t>
  </si>
  <si>
    <t>monthly</t>
  </si>
  <si>
    <t>Magnolia Residential Environs</t>
  </si>
  <si>
    <t>Magnolia Commercial Environs</t>
  </si>
  <si>
    <t>Phase I</t>
  </si>
  <si>
    <t>Phase II</t>
  </si>
  <si>
    <t>SIX MCF</t>
  </si>
  <si>
    <t>TEN MCF</t>
  </si>
  <si>
    <t>(J)</t>
  </si>
  <si>
    <t>(K)</t>
  </si>
  <si>
    <t>(L)</t>
  </si>
  <si>
    <t>(M)</t>
  </si>
  <si>
    <t>(N)</t>
  </si>
  <si>
    <t>Proposed Rate of Return and Earnings</t>
  </si>
  <si>
    <t>to Incorporated</t>
  </si>
  <si>
    <t>Apply Proposed Rates</t>
  </si>
  <si>
    <t>Pro Forma Adjust.</t>
  </si>
  <si>
    <t>To normalize additional rent expense to reflect June 2006 increase</t>
  </si>
  <si>
    <t>Proposed Revenue Increase</t>
  </si>
  <si>
    <t xml:space="preserve">ACCUMULATED DEPRECIATION OF GAS UTILITY PLANT IN SERVICE  </t>
  </si>
  <si>
    <t>(Balance Sheet Account 108)</t>
  </si>
  <si>
    <t>Totals - Texas Only  (Lines 1 thru 84)</t>
  </si>
  <si>
    <t>Related Plant Account</t>
  </si>
  <si>
    <t>Current Yr.</t>
  </si>
  <si>
    <t>Retiremts. &amp;</t>
  </si>
  <si>
    <t>and Description</t>
  </si>
  <si>
    <t>Life</t>
  </si>
  <si>
    <t>Accrual</t>
  </si>
  <si>
    <t>(f)</t>
  </si>
  <si>
    <t>(362-3) Gas Holders and Purification Equip</t>
  </si>
  <si>
    <t>(363.1-2) Liquefaction and Vaporizing Equip</t>
  </si>
  <si>
    <t>(363.3-4) Comp./Measuring/Regulating Equip</t>
  </si>
  <si>
    <t>25/30</t>
  </si>
  <si>
    <t>(393-396) Stores, Tools, Lab &amp; Power Equip</t>
  </si>
  <si>
    <t>TOTAL ACCUM. DEPRECIATION - TEXAS</t>
  </si>
  <si>
    <t>- 21 -</t>
  </si>
  <si>
    <r>
      <t xml:space="preserve"> </t>
    </r>
    <r>
      <rPr>
        <sz val="9"/>
        <rFont val="Times New Roman"/>
        <family val="1"/>
      </rPr>
      <t xml:space="preserve">Total Other Storage Plant </t>
    </r>
    <r>
      <rPr>
        <sz val="8"/>
        <rFont val="Times New Roman"/>
        <family val="0"/>
      </rPr>
      <t xml:space="preserve"> (Lines 46 thru 52)</t>
    </r>
  </si>
  <si>
    <r>
      <t xml:space="preserve">   </t>
    </r>
    <r>
      <rPr>
        <sz val="9"/>
        <rFont val="Times New Roman"/>
        <family val="1"/>
      </rPr>
      <t>Total Transmission Plant</t>
    </r>
    <r>
      <rPr>
        <sz val="8"/>
        <rFont val="Times New Roman"/>
        <family val="0"/>
      </rPr>
      <t xml:space="preserve">  (Lines 55 - 62)</t>
    </r>
  </si>
  <si>
    <r>
      <t xml:space="preserve"> </t>
    </r>
    <r>
      <rPr>
        <sz val="9"/>
        <rFont val="Times New Roman"/>
        <family val="1"/>
      </rPr>
      <t xml:space="preserve">Total Distribution Plant   </t>
    </r>
    <r>
      <rPr>
        <sz val="8"/>
        <rFont val="Times New Roman"/>
        <family val="0"/>
      </rPr>
      <t xml:space="preserve"> (Lines 64 - 73)</t>
    </r>
  </si>
  <si>
    <r>
      <t xml:space="preserve">   </t>
    </r>
    <r>
      <rPr>
        <sz val="9"/>
        <rFont val="Times New Roman"/>
        <family val="1"/>
      </rPr>
      <t>Total General Plant</t>
    </r>
    <r>
      <rPr>
        <sz val="8"/>
        <rFont val="Times New Roman"/>
        <family val="0"/>
      </rPr>
      <t xml:space="preserve">  (Lines 75 - 82)</t>
    </r>
  </si>
  <si>
    <r>
      <t xml:space="preserve">TOTAL DEPR.- ALL AREAS </t>
    </r>
    <r>
      <rPr>
        <sz val="8"/>
        <rFont val="Times New Roman"/>
        <family val="0"/>
      </rPr>
      <t>(Lines 84 - 88)</t>
    </r>
  </si>
  <si>
    <r>
      <t xml:space="preserve">Line 89(f) must equal amount for Acct. 108 </t>
    </r>
    <r>
      <rPr>
        <u val="single"/>
        <sz val="8"/>
        <rFont val="Times New Roman"/>
        <family val="1"/>
      </rPr>
      <t>included on</t>
    </r>
    <r>
      <rPr>
        <sz val="8"/>
        <rFont val="Times New Roman"/>
        <family val="0"/>
      </rPr>
      <t xml:space="preserve"> Page 12, Line 9(c)</t>
    </r>
  </si>
  <si>
    <t>WEATHER NORM WORKPAPER</t>
  </si>
  <si>
    <t>Weather Norm Factor</t>
  </si>
  <si>
    <t>Norm</t>
  </si>
  <si>
    <t xml:space="preserve">Company:_Hughes Natural Gas, Inc._________  Report Type: (_X__) Original or (__) Amended   Report Year:  </t>
  </si>
  <si>
    <t>ok</t>
  </si>
  <si>
    <t>Column (B) Divided by Column (A)</t>
  </si>
  <si>
    <t>TABLE 1</t>
  </si>
  <si>
    <t>Test Year Adjusted Revenues (Schedule A-1)</t>
  </si>
  <si>
    <t>Calculated Cost of Service Increase (Schedule A)</t>
  </si>
  <si>
    <t>Requested Revenue Increase (Schedule A)</t>
  </si>
  <si>
    <t>Requested</t>
  </si>
  <si>
    <t>Cost of Service</t>
  </si>
  <si>
    <t xml:space="preserve">Normalizing </t>
  </si>
  <si>
    <t>Adjusted Base</t>
  </si>
  <si>
    <t>Revenues</t>
  </si>
  <si>
    <t>Test Year As</t>
  </si>
  <si>
    <t>Remove PGA</t>
  </si>
  <si>
    <t>To Normalize Base Revenues</t>
  </si>
  <si>
    <t>Books</t>
  </si>
  <si>
    <t>Per</t>
  </si>
  <si>
    <t>BILL COMPARISONS</t>
  </si>
  <si>
    <t xml:space="preserve">Pinehurst Residential </t>
  </si>
  <si>
    <t>Pinehurst Commercial</t>
  </si>
  <si>
    <t xml:space="preserve">Wildwood Residential </t>
  </si>
  <si>
    <t>Existing</t>
  </si>
  <si>
    <t>Rates</t>
  </si>
  <si>
    <t>Proposed</t>
  </si>
  <si>
    <t>Bills</t>
  </si>
  <si>
    <t>Percent</t>
  </si>
  <si>
    <t xml:space="preserve">   Test Year Average COG</t>
  </si>
  <si>
    <t xml:space="preserve">Area </t>
  </si>
  <si>
    <t>(H)</t>
  </si>
  <si>
    <t>(I)</t>
  </si>
  <si>
    <t>RATE CASE EXPENSE SURCHARGE OPTIONS</t>
  </si>
  <si>
    <t>Option 1 -Volumetric Surcharge</t>
  </si>
  <si>
    <t>Surcharge Line 1/Line 3</t>
  </si>
  <si>
    <t xml:space="preserve">Six MCF Bill Impact </t>
  </si>
  <si>
    <t xml:space="preserve">Ten MCF Bill Impact </t>
  </si>
  <si>
    <t>Estimated Volumes for Three Year Surcharge (Line 2 X 3 Years)</t>
  </si>
  <si>
    <t>Estimated Rate Case Costs</t>
  </si>
  <si>
    <t>Surcharge Line 1/Line 8</t>
  </si>
  <si>
    <r>
      <t xml:space="preserve">(880) Other Expenses                                       </t>
    </r>
    <r>
      <rPr>
        <sz val="8"/>
        <rFont val="Times New Roman"/>
        <family val="0"/>
      </rPr>
      <t>[requires Footnote]</t>
    </r>
  </si>
  <si>
    <r>
      <t xml:space="preserve">       Total Distribution Expenses  </t>
    </r>
    <r>
      <rPr>
        <sz val="8"/>
        <rFont val="Times New Roman"/>
        <family val="0"/>
      </rPr>
      <t>(Lines 147 thru 168)</t>
    </r>
  </si>
  <si>
    <r>
      <t xml:space="preserve">      Total Customer Accounts Expenses  </t>
    </r>
    <r>
      <rPr>
        <sz val="8"/>
        <rFont val="Times New Roman"/>
        <family val="0"/>
      </rPr>
      <t>(Lines 170 thru 174)</t>
    </r>
  </si>
  <si>
    <r>
      <t xml:space="preserve">     Total Cust. Service and Inform. Exp. </t>
    </r>
    <r>
      <rPr>
        <sz val="8"/>
        <rFont val="Times New Roman"/>
        <family val="0"/>
      </rPr>
      <t>(Lines 176 thru 179)</t>
    </r>
  </si>
  <si>
    <r>
      <t xml:space="preserve">        Total Sales Expenses       </t>
    </r>
    <r>
      <rPr>
        <sz val="8"/>
        <rFont val="Times New Roman"/>
        <family val="0"/>
      </rPr>
      <t>(Lines 181 thru 184)</t>
    </r>
  </si>
  <si>
    <r>
      <t xml:space="preserve">(930.2) Miscellaneous General Expense           </t>
    </r>
    <r>
      <rPr>
        <sz val="8"/>
        <rFont val="Times New Roman"/>
        <family val="0"/>
      </rPr>
      <t>[requires Footnote]</t>
    </r>
  </si>
  <si>
    <r>
      <t xml:space="preserve">      Total Admin. &amp; General Expenses  </t>
    </r>
    <r>
      <rPr>
        <sz val="8"/>
        <rFont val="Times New Roman"/>
        <family val="0"/>
      </rPr>
      <t>(Lines 186 thru 199)</t>
    </r>
  </si>
  <si>
    <r>
      <t xml:space="preserve">      Total Other Operating Expenses  </t>
    </r>
    <r>
      <rPr>
        <sz val="8"/>
        <rFont val="Times New Roman"/>
        <family val="0"/>
      </rPr>
      <t>(Lines 202 thru 211)</t>
    </r>
  </si>
  <si>
    <r>
      <t xml:space="preserve">TOTAL OPERATING EXPENSES  </t>
    </r>
    <r>
      <rPr>
        <sz val="8"/>
        <rFont val="Times New Roman"/>
        <family val="0"/>
      </rPr>
      <t>(Line 201 plus 212)</t>
    </r>
  </si>
  <si>
    <t>Allocation of expenses from Hughes L.P. Gas, Inc.</t>
  </si>
  <si>
    <t>to Hughes Natural Gas, Inc.</t>
  </si>
  <si>
    <t>1H06</t>
  </si>
  <si>
    <t>3Q06</t>
  </si>
  <si>
    <t>4Q06</t>
  </si>
  <si>
    <t>Amount</t>
  </si>
  <si>
    <t>Allocated</t>
  </si>
  <si>
    <t>FERC Account Distribution</t>
  </si>
  <si>
    <t>as Adjusted</t>
  </si>
  <si>
    <t>Adjustment</t>
  </si>
  <si>
    <t>(870) Operations Supervision/Eng</t>
  </si>
  <si>
    <t>(874.1) Mains and Services Expenses</t>
  </si>
  <si>
    <t>(885) Maintenance Supervision/Engineering</t>
  </si>
  <si>
    <t>(920) A&amp;G Payroll</t>
  </si>
  <si>
    <t>Allocation of expenses from Hughes Gas Resources, Inc.</t>
  </si>
  <si>
    <t>Pay Increase/40k Adjustment</t>
  </si>
  <si>
    <t>Sub-System Totals (including T/O account volumes)</t>
  </si>
  <si>
    <t>Magnolia Residential</t>
  </si>
  <si>
    <t>Turned off account volumes</t>
  </si>
  <si>
    <t>Pinehurst</t>
  </si>
  <si>
    <t>Wildwood</t>
  </si>
  <si>
    <t>Magnolia</t>
  </si>
  <si>
    <t>Totals</t>
  </si>
  <si>
    <t>Environs - Magnolia</t>
  </si>
  <si>
    <t>City - Magnolia</t>
  </si>
  <si>
    <t>#</t>
  </si>
  <si>
    <t>Mcf</t>
  </si>
  <si>
    <t>Total Revenue</t>
  </si>
  <si>
    <t>Gas Rate ($/MCF)</t>
  </si>
  <si>
    <t>Monthly Service Fees</t>
  </si>
  <si>
    <t>Gas Sales Mark-up Only</t>
  </si>
  <si>
    <t>Analysis of Aug-Dec Activity</t>
  </si>
  <si>
    <t>Aug-Dec</t>
  </si>
  <si>
    <t>Volume data normalized for Magnolia/Wildwood Acquisition</t>
  </si>
  <si>
    <t>Normalization Adjustment</t>
  </si>
  <si>
    <t>Change</t>
  </si>
  <si>
    <t xml:space="preserve">  Change per Customer</t>
  </si>
  <si>
    <t>Summer Base Load Volumes (May-August)</t>
  </si>
  <si>
    <t xml:space="preserve">   Summer Base Load Volume per Customer</t>
  </si>
  <si>
    <t>Sub-System Totals</t>
  </si>
  <si>
    <t>(891) Maint. of Meas. and Reg. Sta. Equip. - City Gates</t>
  </si>
  <si>
    <t>(892) Maintenance of Services</t>
  </si>
  <si>
    <t>(893) Maintenance of Meters and House Regulators</t>
  </si>
  <si>
    <t>(894) Maintenance of Other Equipment</t>
  </si>
  <si>
    <t>Customer Accounts Expenses</t>
  </si>
  <si>
    <t>(901) Supervision</t>
  </si>
  <si>
    <t>(903) Customer Records and Collection Expenses</t>
  </si>
  <si>
    <t>(904) Uncollectible Accounts</t>
  </si>
  <si>
    <t>(905) Miscellaneous Customer Accounts Expenses</t>
  </si>
  <si>
    <t>- 28 -</t>
  </si>
  <si>
    <t>Customer Service and Informational Expenses</t>
  </si>
  <si>
    <t>(907) Supervision</t>
  </si>
  <si>
    <t>(908) Customer Assistance Expenses</t>
  </si>
  <si>
    <t>(909) Informational  &amp; Instructional Advertising Exp.</t>
  </si>
  <si>
    <t>(910) Misc. Customer Service &amp; Informational Expenses</t>
  </si>
  <si>
    <t>Sales Expenses</t>
  </si>
  <si>
    <t>(911) Supervision</t>
  </si>
  <si>
    <t>(912) Demonstrating and Selling Expenses</t>
  </si>
  <si>
    <t>(913) Advertising Expenses</t>
  </si>
  <si>
    <t>(916) Miscellaneous Sales Expenses</t>
  </si>
  <si>
    <t>Administrative and General Expenses</t>
  </si>
  <si>
    <t>(920) Administrative and General Salaries</t>
  </si>
  <si>
    <t>(922) Administrative Expenses Transferred - Credit</t>
  </si>
  <si>
    <t>(923) Outside Services Employed</t>
  </si>
  <si>
    <t>(925) Injuries and Damages</t>
  </si>
  <si>
    <t>(926) Employee Pensions and Benefits</t>
  </si>
  <si>
    <t>(927) Franchise Requirements</t>
  </si>
  <si>
    <t>(928) Regulatory Commission Expenses</t>
  </si>
  <si>
    <t>(929) Duplicate Charges - Credit</t>
  </si>
  <si>
    <t>(930.1) Goodwill Advertising Expense</t>
  </si>
  <si>
    <t>(932) Maintenance of General Plant</t>
  </si>
  <si>
    <t xml:space="preserve"> Total Operation &amp; Maintenance Expenses </t>
  </si>
  <si>
    <t>(Lines 23, 44, 67, 72, 92, 114, 130, 133, 146, 169, 175, 180, 185 &amp; 200)</t>
  </si>
  <si>
    <t>Other Operating Expenses</t>
  </si>
  <si>
    <t>(403-403.1) Depreciation Expense  *</t>
  </si>
  <si>
    <t>(404-407.2) Combined Amortization Expenses  *</t>
  </si>
  <si>
    <t>(407.3-4) Regulatory Debits and Credits</t>
  </si>
  <si>
    <t>(408.1) Taxes Other Than Income Taxes</t>
  </si>
  <si>
    <t>(409.1) Income Taxes</t>
  </si>
  <si>
    <t>(410.1) Provisions for Deferred Income Taxes</t>
  </si>
  <si>
    <t>(411.1) Provision for Deferred Income Taxes - Credit</t>
  </si>
  <si>
    <t>(411.4) Investment Tax Credit Adj. - Utility Operations</t>
  </si>
  <si>
    <t>(411.6-7) Gains/Losses from Disposition of Utility Plant</t>
  </si>
  <si>
    <t>(411.10) Accretion Expense</t>
  </si>
  <si>
    <t>- 29 -</t>
  </si>
  <si>
    <r>
      <t xml:space="preserve">(859) Other Expenses                                       </t>
    </r>
    <r>
      <rPr>
        <sz val="8"/>
        <rFont val="Times New Roman"/>
        <family val="0"/>
      </rPr>
      <t>[requires Footnote]</t>
    </r>
  </si>
  <si>
    <r>
      <t xml:space="preserve">       Total Transmission Expenses  </t>
    </r>
    <r>
      <rPr>
        <sz val="8"/>
        <rFont val="Times New Roman"/>
        <family val="0"/>
      </rPr>
      <t>(Lines 134 thru 145)</t>
    </r>
  </si>
  <si>
    <t xml:space="preserve">       preferably straight-line, and provide in a separate footnote.</t>
  </si>
  <si>
    <t>- 14 -</t>
  </si>
  <si>
    <r>
      <t xml:space="preserve">        TOTAL LONG-TERM DEBT  </t>
    </r>
    <r>
      <rPr>
        <sz val="8"/>
        <rFont val="Times New Roman"/>
        <family val="0"/>
      </rPr>
      <t>(Lines 93 thru 97)</t>
    </r>
  </si>
  <si>
    <r>
      <t xml:space="preserve">TOTAL OTHER NONCURRENT LIABILITIES </t>
    </r>
    <r>
      <rPr>
        <sz val="8"/>
        <rFont val="Times New Roman"/>
        <family val="0"/>
      </rPr>
      <t>(Lines 99 thru 101)</t>
    </r>
  </si>
  <si>
    <r>
      <t xml:space="preserve">(242) Miscellaneous Current &amp; Accrued Liabilities         </t>
    </r>
    <r>
      <rPr>
        <sz val="8"/>
        <rFont val="Times New Roman"/>
        <family val="0"/>
      </rPr>
      <t>[Footnote]</t>
    </r>
  </si>
  <si>
    <r>
      <t xml:space="preserve">(253) Other Deferred Credits                                 </t>
    </r>
    <r>
      <rPr>
        <sz val="8"/>
        <rFont val="Times New Roman"/>
        <family val="0"/>
      </rPr>
      <t>[requires Footnote]</t>
    </r>
  </si>
  <si>
    <r>
      <t xml:space="preserve">(254) Other Regulatory Liabilites                          </t>
    </r>
    <r>
      <rPr>
        <sz val="8"/>
        <rFont val="Times New Roman"/>
        <family val="0"/>
      </rPr>
      <t>[requires Footnote]</t>
    </r>
  </si>
  <si>
    <r>
      <t xml:space="preserve">(281) Accum. Deferred Income Taxes </t>
    </r>
    <r>
      <rPr>
        <sz val="8"/>
        <rFont val="Times New Roman"/>
        <family val="0"/>
      </rPr>
      <t>- Accel. Amort. Property</t>
    </r>
  </si>
  <si>
    <r>
      <t xml:space="preserve">    TOTAL DEFERRED CREDITS  </t>
    </r>
    <r>
      <rPr>
        <sz val="8"/>
        <rFont val="Times New Roman"/>
        <family val="0"/>
      </rPr>
      <t>(Lines 120 thru 128)</t>
    </r>
  </si>
  <si>
    <t>GAS OPERATING REVENUES AND EXPENSES  (Continued)</t>
  </si>
  <si>
    <t>Texas</t>
  </si>
  <si>
    <t>Account</t>
  </si>
  <si>
    <t>Operations</t>
  </si>
  <si>
    <t>OPERATING EXPENSES (continued)</t>
  </si>
  <si>
    <t>Operation and Maintenance Expenses (continued)</t>
  </si>
  <si>
    <t>Transmission Expenses</t>
  </si>
  <si>
    <t>(850) Operation Supervision and Engineering</t>
  </si>
  <si>
    <t>(851) System Control and Load Dispatching</t>
  </si>
  <si>
    <t>(852) Communications System Expenses</t>
  </si>
  <si>
    <t>(853) Compressor Station Labor and Expenses</t>
  </si>
  <si>
    <t>(854) Gas for Compressor Station Fuel</t>
  </si>
  <si>
    <t>(855) Other Fuel and Power for Compressor Stations</t>
  </si>
  <si>
    <t>(856) Mains Expenses</t>
  </si>
  <si>
    <t>(857) Measuring and Regulation Station Expenses</t>
  </si>
  <si>
    <t>(858) Transmission and Compression of Gas by Others</t>
  </si>
  <si>
    <t>(860) Rents</t>
  </si>
  <si>
    <t xml:space="preserve">(861-867) Maintenance Accounts - 'Grouped' </t>
  </si>
  <si>
    <t>Distribution Expenses</t>
  </si>
  <si>
    <t>(870) Operation Supervision and Engineering</t>
  </si>
  <si>
    <t>(871) Distribution Load Dispatching</t>
  </si>
  <si>
    <t>(872) Compressor Station Labor and Expenses</t>
  </si>
  <si>
    <t>(873) Compressor Station Fuel and Power</t>
  </si>
  <si>
    <t>(875) Measuring and Regulation Station Exp. - General</t>
  </si>
  <si>
    <t>(876) Measuring and Regulation Station Exp. - Industrial</t>
  </si>
  <si>
    <t>(877) Meas. and Reg. Station Exp. - City Gates</t>
  </si>
  <si>
    <t>(878) Meter and House Regulator Expenses</t>
  </si>
  <si>
    <t>(879) Customer Installations Expenses</t>
  </si>
  <si>
    <t>(881) Rents</t>
  </si>
  <si>
    <t>(885) Maintenance Supervision and Engineering</t>
  </si>
  <si>
    <t>(886) Maintenance of Structures and Improvements</t>
  </si>
  <si>
    <t>(887) Maintenance of Mains</t>
  </si>
  <si>
    <t>(888) Maintenance of Compressor Station Equipment</t>
  </si>
  <si>
    <t>(889) Maint. of Meas. and Reg. Station Equip. - General</t>
  </si>
  <si>
    <t>(890) Maint. of Meas. and Reg. Station Equip. - Industrial</t>
  </si>
  <si>
    <r>
      <t xml:space="preserve">    </t>
    </r>
    <r>
      <rPr>
        <sz val="9"/>
        <rFont val="Times New Roman"/>
        <family val="1"/>
      </rPr>
      <t>Total General Plant</t>
    </r>
    <r>
      <rPr>
        <sz val="8"/>
        <rFont val="Times New Roman"/>
        <family val="0"/>
      </rPr>
      <t xml:space="preserve">  (Lines 75 thru 82)</t>
    </r>
  </si>
  <si>
    <r>
      <t>TOTAL PLANT - ALL AREAS</t>
    </r>
    <r>
      <rPr>
        <sz val="10"/>
        <rFont val="Times New Roman"/>
        <family val="1"/>
      </rPr>
      <t xml:space="preserve"> </t>
    </r>
    <r>
      <rPr>
        <sz val="6"/>
        <rFont val="Times New Roman"/>
        <family val="1"/>
      </rPr>
      <t xml:space="preserve"> (Lines 84 thru 88)</t>
    </r>
  </si>
  <si>
    <r>
      <t xml:space="preserve">  </t>
    </r>
    <r>
      <rPr>
        <sz val="8"/>
        <rFont val="Times New Roman"/>
        <family val="0"/>
      </rPr>
      <t>(Line 89(e) must equal  Page 12, Line 1(c))</t>
    </r>
  </si>
  <si>
    <t>BALANCE SHEET (Continued)</t>
  </si>
  <si>
    <t>Cross</t>
  </si>
  <si>
    <t>Balance at Dec. 31</t>
  </si>
  <si>
    <t>Liabilities and Other Credits</t>
  </si>
  <si>
    <t>Reference</t>
  </si>
  <si>
    <t>(Dr.)  Cr.</t>
  </si>
  <si>
    <t>LONG-TERM DEBT</t>
  </si>
  <si>
    <t>(221) Bonds</t>
  </si>
  <si>
    <t>(222) Reacquired Bonds</t>
  </si>
  <si>
    <t>(223) Advances from Associated Companies</t>
  </si>
  <si>
    <t xml:space="preserve">(224) Other Long-Term Debt </t>
  </si>
  <si>
    <t>(225-6) Unamortized Premium/Discount on Long-Term Debt</t>
  </si>
  <si>
    <t>p. 17, Ln. 8(h)</t>
  </si>
  <si>
    <t>OTHER NONCURRENT LIABILITIES</t>
  </si>
  <si>
    <t>(227) Obligations under Capital Leases - noncurrent</t>
  </si>
  <si>
    <t>(228.1-4) Accumulated Provisions - 'Various'</t>
  </si>
  <si>
    <t>(229) Accumulated Provision for Rate Refunds</t>
  </si>
  <si>
    <t>CURRENT &amp; ACCRUED LIABILITIES</t>
  </si>
  <si>
    <t>(230) Asset Retirement Obligations</t>
  </si>
  <si>
    <t xml:space="preserve">(231) Notes Payable </t>
  </si>
  <si>
    <t>p. 16, Ln. 8(e)</t>
  </si>
  <si>
    <t xml:space="preserve">(232) Accounts Payable  </t>
  </si>
  <si>
    <t>(233) Notes Payable to Associated Companies</t>
  </si>
  <si>
    <t>p. 16, Ln. 16(b)</t>
  </si>
  <si>
    <t xml:space="preserve">(234) Accounts Payable to Associated Companies </t>
  </si>
  <si>
    <t>p. 16, Ln. 16(c)</t>
  </si>
  <si>
    <t xml:space="preserve">(235) Customer Deposits  </t>
  </si>
  <si>
    <t xml:space="preserve">(236) Taxes Accrued  </t>
  </si>
  <si>
    <t xml:space="preserve">(237) Interest Accrued  </t>
  </si>
  <si>
    <t xml:space="preserve">(238) Dividends Declared  </t>
  </si>
  <si>
    <t xml:space="preserve">(239) Matured Long-Term Debt  </t>
  </si>
  <si>
    <t xml:space="preserve">(240) Matured Interest  </t>
  </si>
  <si>
    <t xml:space="preserve">(241) Tax Collections Payable  </t>
  </si>
  <si>
    <t>(243) Obligations under Capital Leases - current</t>
  </si>
  <si>
    <t>(244) Derivative Instrument Liabilities</t>
  </si>
  <si>
    <t>(245) Derivative Instrument Liabilities - Hedges</t>
  </si>
  <si>
    <t xml:space="preserve">TOTAL CURRENT AND ACCRUED LIABILITIES </t>
  </si>
  <si>
    <t>(Lines 103 thru 118)</t>
  </si>
  <si>
    <t>DEFERRED CREDITS</t>
  </si>
  <si>
    <t xml:space="preserve">(252) Customer Advances for Construction  </t>
  </si>
  <si>
    <t xml:space="preserve">(255) Accumulated Deferred Investment Tax Credits  </t>
  </si>
  <si>
    <t>(256) Deferred Gains from Disposition of Utility Plant</t>
  </si>
  <si>
    <t>(257) Unamortized Gain on Reacquired Debt</t>
  </si>
  <si>
    <t>(282) Accumulated Deferred Income Taxes - Other Property</t>
  </si>
  <si>
    <t>(283) Accumulated Deferred Income Taxes - Other</t>
  </si>
  <si>
    <t xml:space="preserve">TOTAL LIABILITIES AND OTHER CREDITS  </t>
  </si>
  <si>
    <t>must equal</t>
  </si>
  <si>
    <t>(Line 92 &amp; 98 &amp; 102 &amp; 119 &amp; 129)</t>
  </si>
  <si>
    <t>Line 72</t>
  </si>
  <si>
    <t>*     If an accelerated depreciation method is used, estimate the required data using a non-accelerated method,</t>
  </si>
  <si>
    <t>(352.1) Storage Leaseholds and Rights</t>
  </si>
  <si>
    <t>(352.2) Reservoirs</t>
  </si>
  <si>
    <t>(352.3) Nonrecoverable Natural Gas</t>
  </si>
  <si>
    <t>(353) Lines</t>
  </si>
  <si>
    <t>(354) Compressor Station Equipment</t>
  </si>
  <si>
    <t>(355) Measuring and Regulating Equipment</t>
  </si>
  <si>
    <t>(356) Purification Equipment</t>
  </si>
  <si>
    <t>(357) Other Equipment</t>
  </si>
  <si>
    <t>(358) Asset Retirement Costs . . . .</t>
  </si>
  <si>
    <t>- 18 -</t>
  </si>
  <si>
    <t>Other Storage Plant</t>
  </si>
  <si>
    <t>(360) Land and Land Rights</t>
  </si>
  <si>
    <t>(361) Structures and Improvements</t>
  </si>
  <si>
    <t>(362-3) Gas Holders and Purification Equipment</t>
  </si>
  <si>
    <t>(363.1-2) Liquefaction and Vaporizing Equipment</t>
  </si>
  <si>
    <t>(363.3-4) Compressor/Measuring/Regulating Equip.</t>
  </si>
  <si>
    <t>(363.5) Other Equipment</t>
  </si>
  <si>
    <t xml:space="preserve">(363.6) Asset Retirement Costs . . . . </t>
  </si>
  <si>
    <t>(364.1-9) Base Load LNG Term./Proc.</t>
  </si>
  <si>
    <t>Transmission Plant</t>
  </si>
  <si>
    <t>(365.1 &amp; 365.2) Land &amp; Rights-of-Way</t>
  </si>
  <si>
    <t>$</t>
  </si>
  <si>
    <t>(366) Structures &amp; Improvements</t>
  </si>
  <si>
    <t>(367) Mains</t>
  </si>
  <si>
    <t>(368) Compressor Station Equipment</t>
  </si>
  <si>
    <t>(369) Meas. and Reg. Station Equipment</t>
  </si>
  <si>
    <t>(370) Communication Equipment</t>
  </si>
  <si>
    <t>(371) Other Equipment</t>
  </si>
  <si>
    <t>(372) Asset Retirement Costs . . . .</t>
  </si>
  <si>
    <t>(375) Structures &amp; Improvements</t>
  </si>
  <si>
    <t>(377) Compressor Station Equipment</t>
  </si>
  <si>
    <t>(378 &amp; 379) Meas. &amp; Reg. Station Equipment</t>
  </si>
  <si>
    <t>(385) Ind. Meas. &amp; Reg. Station Equipment</t>
  </si>
  <si>
    <t>(386 &amp; 387) Other Prop. &amp; Equipment</t>
  </si>
  <si>
    <t>(388) Asset Retirement Costs . . . .</t>
  </si>
  <si>
    <t>(390) Structures &amp; Improvements</t>
  </si>
  <si>
    <t>(392) Transportation Equipment</t>
  </si>
  <si>
    <t>(393-396) Stores, Tools, Lab &amp; Power Equipment</t>
  </si>
  <si>
    <t>(397) Communication Equipment</t>
  </si>
  <si>
    <t>(398-399) Misc. &amp; Other Equipment</t>
  </si>
  <si>
    <t>(399.1) Asset Retirement Costs . . . .</t>
  </si>
  <si>
    <t xml:space="preserve">TOTAL PLANT - TEXAS </t>
  </si>
  <si>
    <t>(Lines 1 &amp; 2 &amp; 22 &amp; 32 &amp; 45 &amp; 53 &amp; 54 &amp; 63 &amp; 74 &amp; 83)</t>
  </si>
  <si>
    <t>All Other Areas</t>
  </si>
  <si>
    <t>(301-364) Int., Prod., &amp; Storage Plant</t>
  </si>
  <si>
    <t>(365-372) Transmission Plant</t>
  </si>
  <si>
    <t>(374-388) Distribution Plant</t>
  </si>
  <si>
    <t>(389-399) General Plant</t>
  </si>
  <si>
    <t>- 19 -</t>
  </si>
  <si>
    <r>
      <t xml:space="preserve">   </t>
    </r>
    <r>
      <rPr>
        <sz val="9"/>
        <rFont val="Times New Roman"/>
        <family val="1"/>
      </rPr>
      <t>Total Prod. Extract. Plant</t>
    </r>
    <r>
      <rPr>
        <sz val="8"/>
        <rFont val="Times New Roman"/>
        <family val="0"/>
      </rPr>
      <t xml:space="preserve">  (Lines 23 thru 31)</t>
    </r>
  </si>
  <si>
    <r>
      <t xml:space="preserve">  </t>
    </r>
    <r>
      <rPr>
        <sz val="9"/>
        <rFont val="Times New Roman"/>
        <family val="1"/>
      </rPr>
      <t>Total Undergr. Storage Plant</t>
    </r>
    <r>
      <rPr>
        <sz val="8"/>
        <rFont val="Times New Roman"/>
        <family val="0"/>
      </rPr>
      <t xml:space="preserve">  (Lines 33 thru 44)     </t>
    </r>
  </si>
  <si>
    <r>
      <t xml:space="preserve">   </t>
    </r>
    <r>
      <rPr>
        <sz val="9"/>
        <rFont val="Times New Roman"/>
        <family val="1"/>
      </rPr>
      <t>Total Other Storage Plant</t>
    </r>
    <r>
      <rPr>
        <sz val="8"/>
        <rFont val="Times New Roman"/>
        <family val="0"/>
      </rPr>
      <t xml:space="preserve">  (Lines 46 thru 52)</t>
    </r>
  </si>
  <si>
    <r>
      <t xml:space="preserve">   </t>
    </r>
    <r>
      <rPr>
        <sz val="9"/>
        <rFont val="Times New Roman"/>
        <family val="1"/>
      </rPr>
      <t>Total Transmission Plant</t>
    </r>
    <r>
      <rPr>
        <sz val="8"/>
        <rFont val="Times New Roman"/>
        <family val="0"/>
      </rPr>
      <t xml:space="preserve">  (Lines 55 thru 62)</t>
    </r>
  </si>
  <si>
    <r>
      <t xml:space="preserve">   </t>
    </r>
    <r>
      <rPr>
        <sz val="9"/>
        <rFont val="Times New Roman"/>
        <family val="1"/>
      </rPr>
      <t>Total Distribution Plant</t>
    </r>
    <r>
      <rPr>
        <sz val="8"/>
        <rFont val="Times New Roman"/>
        <family val="0"/>
      </rPr>
      <t xml:space="preserve">   (Lines 64 thru 73)</t>
    </r>
  </si>
  <si>
    <t>With Rate</t>
  </si>
  <si>
    <t>Return</t>
  </si>
  <si>
    <t>Taxable component of return</t>
  </si>
  <si>
    <t>Income tax expense</t>
  </si>
  <si>
    <t>Tax factor (35%/1-35%)</t>
  </si>
  <si>
    <t>Requested rate of return</t>
  </si>
  <si>
    <t>Federal income taxes</t>
  </si>
  <si>
    <t>Revenue</t>
  </si>
  <si>
    <t>Reasonable Earnings on Original Cost Rate Base</t>
  </si>
  <si>
    <t>Schedule Reference</t>
  </si>
  <si>
    <t>Calculated Earnings Deficiency (Line 2- Line 3)</t>
  </si>
  <si>
    <t>Calculated Revenue Deficiency (Line 4 X Gross up Factor, Note 1)</t>
  </si>
  <si>
    <t>GAS UTILITY PLANT IN SERVICE (Balance Sheet Account 101)</t>
  </si>
  <si>
    <t>Totals - Texas Only  (Lines 1 through 84)</t>
  </si>
  <si>
    <t/>
  </si>
  <si>
    <t>Balance First</t>
  </si>
  <si>
    <t>Additions</t>
  </si>
  <si>
    <t>Retirements &amp;</t>
  </si>
  <si>
    <t>Balance End</t>
  </si>
  <si>
    <t>Account and Description</t>
  </si>
  <si>
    <t>of Year</t>
  </si>
  <si>
    <t>During Year</t>
  </si>
  <si>
    <t>(a)</t>
  </si>
  <si>
    <t>(b)</t>
  </si>
  <si>
    <t>(c)</t>
  </si>
  <si>
    <t>(d)</t>
  </si>
  <si>
    <t>(e)</t>
  </si>
  <si>
    <t>(301-303) Intangible Plant</t>
  </si>
  <si>
    <t>(304-321) Manufactured Gas Prod. Plant</t>
  </si>
  <si>
    <t>Natural Gas Production and Gath. Plant</t>
  </si>
  <si>
    <t>(325.1) Producing Lands</t>
  </si>
  <si>
    <t>(325.2) Producing Leaseholds</t>
  </si>
  <si>
    <t>(325.3) Gas Rights</t>
  </si>
  <si>
    <t>(325.4) Rights-of -Way</t>
  </si>
  <si>
    <t>(325.5) Other Land and Land Rights</t>
  </si>
  <si>
    <t>(326) Gas Well Structures</t>
  </si>
  <si>
    <t>(327) Field Compressor Station Structures</t>
  </si>
  <si>
    <t>(328) Field Meas. &amp; Reg. Station Structures</t>
  </si>
  <si>
    <t>(329) Other Structures</t>
  </si>
  <si>
    <t>(330) Producing Gas Wells - Well Construction</t>
  </si>
  <si>
    <t>(331) Producing Gas Wells - Well Equipment</t>
  </si>
  <si>
    <t>(332) Field Lines</t>
  </si>
  <si>
    <t>(333) Field Compressor Station Equipment</t>
  </si>
  <si>
    <t>(334) Field Meas. &amp; Reg. Station Equipment</t>
  </si>
  <si>
    <t>(335) Drilling and Cleaning Equipment</t>
  </si>
  <si>
    <t>(336) Purification Equipment</t>
  </si>
  <si>
    <t>(337) Other Equipment</t>
  </si>
  <si>
    <t>(338) Unsuccessful Explor. &amp; Development Costs</t>
  </si>
  <si>
    <t xml:space="preserve">(339) Asset Retirement Costs . . . . </t>
  </si>
  <si>
    <t>Total Natural Gas Production &amp; Gathering Plant</t>
  </si>
  <si>
    <t>(Lines 3 thru 21)</t>
  </si>
  <si>
    <t>Products Extraction Plant</t>
  </si>
  <si>
    <t>(340) Land and Land Rights</t>
  </si>
  <si>
    <t>(341) Structures and Improvements</t>
  </si>
  <si>
    <t>(342) Extraction and Refining Equipment</t>
  </si>
  <si>
    <t>(343) Pipe Lines</t>
  </si>
  <si>
    <t>(344) Extracted Products Storage Equipment</t>
  </si>
  <si>
    <t>(345) Compressor Equipment</t>
  </si>
  <si>
    <t>(346) Gas Measuring &amp; Regulating Equipment</t>
  </si>
  <si>
    <t>(347) Other Equipment</t>
  </si>
  <si>
    <t xml:space="preserve">(348) Asset Retirement Costs . . . . </t>
  </si>
  <si>
    <t>Underground Storage Plant</t>
  </si>
  <si>
    <t>(350.1-350.2) Land and Right-of-Ways</t>
  </si>
  <si>
    <t>(351) Structures and Improvements</t>
  </si>
  <si>
    <t>(352) Wells</t>
  </si>
  <si>
    <t>SUMMARY OF EXPENSE ADJUSTMENTS</t>
  </si>
  <si>
    <t>(A)</t>
  </si>
  <si>
    <t>(B)</t>
  </si>
  <si>
    <t>(D)</t>
  </si>
  <si>
    <t>Magnolia/Wildwood</t>
  </si>
  <si>
    <t>Customer Growth</t>
  </si>
  <si>
    <t xml:space="preserve">   MCF</t>
  </si>
  <si>
    <t xml:space="preserve">   Bills</t>
  </si>
  <si>
    <t>REVENUES</t>
  </si>
  <si>
    <t>Total Plant</t>
  </si>
  <si>
    <t>Total Distribution Plant</t>
  </si>
  <si>
    <t>Normalized Dep.</t>
  </si>
  <si>
    <t xml:space="preserve">Accum. Deprn. </t>
  </si>
  <si>
    <t xml:space="preserve">        gas distribution company service life </t>
  </si>
  <si>
    <t>A-1</t>
  </si>
  <si>
    <t>NOTE (1):</t>
  </si>
  <si>
    <t>Intangible Plant</t>
  </si>
  <si>
    <t>Distribution Plant</t>
  </si>
  <si>
    <t>General Plant</t>
  </si>
  <si>
    <t>Total Rate Base</t>
  </si>
  <si>
    <t>Customer Accounting Expenses</t>
  </si>
  <si>
    <t>Customer Accounts:</t>
  </si>
  <si>
    <t>Total Expenses (Excluding FIT)</t>
  </si>
  <si>
    <t>Depreciation &amp; Amortization Expense</t>
  </si>
  <si>
    <t>Distribution O&amp;M Expenses</t>
  </si>
  <si>
    <t>Residential</t>
  </si>
  <si>
    <t>Gas Sales</t>
  </si>
  <si>
    <t>Cost of Gas</t>
  </si>
  <si>
    <t>AVERAGE</t>
  </si>
  <si>
    <t>COST OF GAS</t>
  </si>
  <si>
    <t>YEAR REVENUES</t>
  </si>
  <si>
    <t>INCREASE (%)</t>
  </si>
  <si>
    <t>Expense</t>
  </si>
  <si>
    <t>Life (Yrs)</t>
  </si>
  <si>
    <t>Pro Forma Adj.</t>
  </si>
  <si>
    <t>(398) Miscellaneous General Plant</t>
  </si>
  <si>
    <t xml:space="preserve"> </t>
  </si>
  <si>
    <t>(920-930) A&amp;G Payroll</t>
  </si>
  <si>
    <t>(921) Office Supplies and Expenses</t>
  </si>
  <si>
    <t>(923) Outside Services</t>
  </si>
  <si>
    <t>(924) Property Insurance</t>
  </si>
  <si>
    <t>Total Expenses Adjustments</t>
  </si>
  <si>
    <t>RECONCILE BOOKS TO DISTRIBUTION BASE REVENUES</t>
  </si>
  <si>
    <t>Other (Non-Distribution)</t>
  </si>
  <si>
    <t>Normalized</t>
  </si>
  <si>
    <t>Actual Capital Structure</t>
  </si>
  <si>
    <t>Owners Equity</t>
  </si>
  <si>
    <t>Long Term Debt</t>
  </si>
  <si>
    <t xml:space="preserve">To normalize depreciation to reflect year end plant and typical </t>
  </si>
  <si>
    <t>Share</t>
  </si>
  <si>
    <r>
      <t>(1)</t>
    </r>
    <r>
      <rPr>
        <sz val="10"/>
        <rFont val="Times New Roman"/>
        <family val="1"/>
      </rPr>
      <t xml:space="preserve"> The Company is proposing to eliminate the early payment discounts.</t>
    </r>
  </si>
  <si>
    <t>NORMALIZE DISTRIBUTION BASE REVENUES</t>
  </si>
  <si>
    <t xml:space="preserve">    Uncollectible Expense Effective Rate</t>
  </si>
  <si>
    <t>HNG Distribution</t>
  </si>
  <si>
    <t>Service</t>
  </si>
  <si>
    <t>(383) House Regulators</t>
  </si>
  <si>
    <t xml:space="preserve">    Gross Margin Tax</t>
  </si>
  <si>
    <t xml:space="preserve">    Operating Income </t>
  </si>
  <si>
    <t>Proposed Cost of Capital (Schedules A &amp; F)</t>
  </si>
  <si>
    <t xml:space="preserve">    Earnings Factor for Revenue Deficiency (1 divided by Line 12)</t>
  </si>
  <si>
    <t>INHERENT COST OF CAPITAL &amp; PROPOSED COST OF CAPITAL</t>
  </si>
  <si>
    <t>Calculated Cost of capital</t>
  </si>
  <si>
    <t>Requested return</t>
  </si>
  <si>
    <t>Test Year</t>
  </si>
  <si>
    <t>Increase</t>
  </si>
  <si>
    <t>(874) Mains and Services Expenses</t>
  </si>
  <si>
    <t>(885-894) Maintenance Payroll</t>
  </si>
  <si>
    <t>(381) Meters</t>
  </si>
  <si>
    <t>To normalize for Magnolia and Wildwood Acquisition</t>
  </si>
  <si>
    <t xml:space="preserve">To normalize Magnolia and Wildwood acquisitions </t>
  </si>
  <si>
    <t>CALCULATION OF REVENUE DEFICIENCY</t>
  </si>
  <si>
    <t xml:space="preserve">    Taxable Portion</t>
  </si>
  <si>
    <t xml:space="preserve">    Incremental Income Tax Rate</t>
  </si>
  <si>
    <t xml:space="preserve">    Income Tax Effective Rate</t>
  </si>
  <si>
    <t>PROPOSED</t>
  </si>
  <si>
    <t>INCREASE</t>
  </si>
  <si>
    <t>DETAIL OF EXPENSES</t>
  </si>
  <si>
    <t>O &amp; M Expenses:</t>
  </si>
  <si>
    <t>(G)</t>
  </si>
  <si>
    <t>Total Revenues</t>
  </si>
  <si>
    <t>DETAIL OF PLANT IN SERVICE</t>
  </si>
  <si>
    <t>BASE REVENUES</t>
  </si>
  <si>
    <t>Per Books</t>
  </si>
  <si>
    <t>Line</t>
  </si>
  <si>
    <t>Total General Plant</t>
  </si>
  <si>
    <t xml:space="preserve">Taxes Other Than Income </t>
  </si>
  <si>
    <t>(1)</t>
  </si>
  <si>
    <t>Total</t>
  </si>
  <si>
    <t xml:space="preserve">Total </t>
  </si>
  <si>
    <t>Gross Plant In Service (Schedule B-1)</t>
  </si>
  <si>
    <t>Depr &amp; Amort Reserves (Schedule B-2)</t>
  </si>
  <si>
    <t>Administrative &amp; General Expenses</t>
  </si>
  <si>
    <t>Taxes Other Than Income Taxes</t>
  </si>
  <si>
    <t>Distribution Operations:</t>
  </si>
  <si>
    <t>Distribution Maintenance:</t>
  </si>
  <si>
    <t>Pro Forma</t>
  </si>
  <si>
    <t>Adjustments</t>
  </si>
  <si>
    <t>TEST YEAR ENDING DECEMBER 31, 2006</t>
  </si>
  <si>
    <t>(878) Meter &amp; House Regulator Expenses</t>
  </si>
  <si>
    <t>(901) Customer Accounts Supervision</t>
  </si>
  <si>
    <t>Other Revenues</t>
  </si>
  <si>
    <t>Total Gas Sales</t>
  </si>
  <si>
    <t>Base Revenues</t>
  </si>
  <si>
    <t>Penalty/Unearned Discount</t>
  </si>
  <si>
    <t>Service Charges</t>
  </si>
  <si>
    <t>Connection Charges</t>
  </si>
  <si>
    <t>Returned Check Charges</t>
  </si>
  <si>
    <t>Total Other Revenues</t>
  </si>
  <si>
    <t>Actual</t>
  </si>
  <si>
    <t>RESIDENTIAL</t>
  </si>
  <si>
    <t>COMMERCIAL</t>
  </si>
  <si>
    <t>TOTAL</t>
  </si>
  <si>
    <t xml:space="preserve">Customer Deposits </t>
  </si>
  <si>
    <t>REVENUE DEFICIENCY</t>
  </si>
  <si>
    <t>Rate Base</t>
  </si>
  <si>
    <t>Adjusted Test Year Earnings</t>
  </si>
  <si>
    <t>ADJUST OTHER DISTRIBUTION REVENUES TO REFLECT PROPOSED CHANGES</t>
  </si>
  <si>
    <t>No</t>
  </si>
  <si>
    <t>Plant</t>
  </si>
  <si>
    <t>As Adjusted</t>
  </si>
  <si>
    <t xml:space="preserve">Net Plant in Service </t>
  </si>
  <si>
    <t>From Schedule</t>
  </si>
  <si>
    <t>Line No.</t>
  </si>
  <si>
    <t>INCOME STATEMENT SUMMARY</t>
  </si>
  <si>
    <t>FEDERAL INCOME TAX SUMMARY</t>
  </si>
  <si>
    <t xml:space="preserve">HUGHES NATURAL GAS </t>
  </si>
  <si>
    <t>Weath Norm</t>
  </si>
  <si>
    <t>Intangible</t>
  </si>
  <si>
    <t>(378) Meas &amp; Reg Station - C.G.</t>
  </si>
  <si>
    <t>To normalize for newly established 401-K costs</t>
  </si>
  <si>
    <t>Commercial</t>
  </si>
  <si>
    <t>Rate</t>
  </si>
  <si>
    <t>F</t>
  </si>
  <si>
    <t>Return on Rate Base</t>
  </si>
  <si>
    <r>
      <t xml:space="preserve">Less:  Interest on Long Term Debt </t>
    </r>
    <r>
      <rPr>
        <b/>
        <sz val="10"/>
        <rFont val="Times New Roman"/>
        <family val="1"/>
      </rPr>
      <t>(1)</t>
    </r>
  </si>
  <si>
    <t>To normalize recent pay increases</t>
  </si>
  <si>
    <t>HNG Does not have any LT Debt</t>
  </si>
  <si>
    <t>(380) Services</t>
  </si>
  <si>
    <t>(381-384) Meters &amp; House Regulators</t>
  </si>
  <si>
    <t>Note (1) Calculation of  Gross-up Factor</t>
  </si>
  <si>
    <t>CALCULATION OF RATE BASE</t>
  </si>
  <si>
    <t>Mil $</t>
  </si>
  <si>
    <t>Operating Base Revenues</t>
  </si>
  <si>
    <t>Other Utility Revenues</t>
  </si>
  <si>
    <t>Total Operating Revenues</t>
  </si>
  <si>
    <t>OPERATING EXPENSES</t>
  </si>
  <si>
    <t>Total Operating Expenses</t>
  </si>
  <si>
    <t>(E)</t>
  </si>
  <si>
    <t>(C)</t>
  </si>
  <si>
    <t>No.</t>
  </si>
  <si>
    <t>Description</t>
  </si>
  <si>
    <t>DETAIL OF ACCUMULATED DEPRECIATION</t>
  </si>
  <si>
    <t>(F)</t>
  </si>
  <si>
    <t>E</t>
  </si>
  <si>
    <t>DISTRIBUTION PLANT</t>
  </si>
  <si>
    <t>(374) Land &amp; Land Rights</t>
  </si>
  <si>
    <t>(376) Mains</t>
  </si>
  <si>
    <t>(387) Other Equipment</t>
  </si>
  <si>
    <t>GENERAL PLANT</t>
  </si>
  <si>
    <t>(389) Land &amp; Land Rights</t>
  </si>
  <si>
    <t>(391) Office Furniture &amp; Equipment</t>
  </si>
  <si>
    <t>(394) Tools, Shop &amp; Garage Equipment</t>
  </si>
  <si>
    <t>(902) Meter Reading Expenses</t>
  </si>
  <si>
    <t>(893) Maint. of Meters &amp; House Regulators</t>
  </si>
  <si>
    <t>(894) Maint. of Other Equipment</t>
  </si>
  <si>
    <t>(903) Cust Records &amp; Collection Expenses</t>
  </si>
  <si>
    <t>(904) Bad Debt Exp</t>
  </si>
  <si>
    <t>Total ($)</t>
  </si>
  <si>
    <t>Total MCF</t>
  </si>
  <si>
    <t>(926) Employee Benefits</t>
  </si>
  <si>
    <t>(930.2) Misc Expenses</t>
  </si>
  <si>
    <t>(931) Rents</t>
  </si>
  <si>
    <t>(403-404) Depreciation &amp; Amortization</t>
  </si>
  <si>
    <t>(408) Payroll Taxes</t>
  </si>
  <si>
    <t>(408) Pipeline Safety</t>
  </si>
  <si>
    <t>(408) State Franchise</t>
  </si>
  <si>
    <t>(408) Ad Valorem Taxes</t>
  </si>
  <si>
    <t>B</t>
  </si>
  <si>
    <t>Paul</t>
  </si>
  <si>
    <t>4680 on 1/30/07</t>
  </si>
  <si>
    <t>Laura</t>
  </si>
  <si>
    <t>Holly</t>
  </si>
  <si>
    <t>4160 on 2/2/07</t>
  </si>
  <si>
    <t>401-k</t>
  </si>
  <si>
    <t>$525.51/week in first 5 weeks</t>
  </si>
  <si>
    <t>Rent</t>
  </si>
  <si>
    <t xml:space="preserve">Pro Forma Deferred Income Taxes </t>
  </si>
  <si>
    <t>Working Capital - 1/8</t>
  </si>
  <si>
    <t xml:space="preserve">As Adjusted </t>
  </si>
  <si>
    <t>Weighted</t>
  </si>
  <si>
    <t>(870-880) Operations Payroll</t>
  </si>
  <si>
    <t>SCHEDULE  F</t>
  </si>
  <si>
    <t>BASE  REVENUES</t>
  </si>
  <si>
    <t>WP1 Sch C-1 Payroll</t>
  </si>
  <si>
    <t>PAYROLL</t>
  </si>
  <si>
    <t>WP1 Sch C-1 Payroll-Cust Accts Supervision</t>
  </si>
  <si>
    <t>WP1 Sch C-1 Payroll-Cust Rec &amp; Collection</t>
  </si>
  <si>
    <t>WP1 C-1 Payroll</t>
  </si>
  <si>
    <t>WP1 C-1 Pensions</t>
  </si>
  <si>
    <t>WP1 C-1 Office Supplies</t>
  </si>
  <si>
    <t>Depreciation (Sch B-1 less TY actual Sch C)</t>
  </si>
  <si>
    <t>State Franchise (1/2 of 1% X base revenues)</t>
  </si>
  <si>
    <t>Meter Reading</t>
  </si>
  <si>
    <t>Bad Debt Expense (TY rate X Adj Revenues)</t>
  </si>
  <si>
    <t>AS ADJUSTED</t>
  </si>
  <si>
    <t>M-Residential - Incorporated</t>
  </si>
  <si>
    <t>P-Residential - Environs</t>
  </si>
  <si>
    <t>W-Residential - Environs</t>
  </si>
  <si>
    <t>M-Residential - Environs</t>
  </si>
  <si>
    <t>M-Small Commercial - Incorporated</t>
  </si>
  <si>
    <t>P-Small Commercial - Environs</t>
  </si>
  <si>
    <t>M-Small Commercial - Environs</t>
  </si>
  <si>
    <t>TOTAL ADJ TEST</t>
  </si>
  <si>
    <t>Environs Test Year Volumes</t>
  </si>
  <si>
    <t>Environs Test Year Bills</t>
  </si>
  <si>
    <t>Code Key:</t>
  </si>
  <si>
    <t>M=Magnolia</t>
  </si>
  <si>
    <t>P=Pinehurst</t>
  </si>
  <si>
    <t>W=Wildwood</t>
  </si>
  <si>
    <t>Total Bills</t>
  </si>
  <si>
    <t>A</t>
  </si>
  <si>
    <t>Raw Volume Data includes allocation of T/O account volumes-Per Books</t>
  </si>
  <si>
    <t>Raw Volume Data - Per Books</t>
  </si>
  <si>
    <t>phase one revenue increase</t>
  </si>
  <si>
    <t>Phase I &amp; II Increases</t>
  </si>
  <si>
    <t>Other revenues increase</t>
  </si>
  <si>
    <t>Pinehurst increase volumens</t>
  </si>
  <si>
    <t>Wildwood vol increase</t>
  </si>
  <si>
    <t>Wildwood cust charge increae</t>
  </si>
  <si>
    <t>Bills to change 1st &amp; 2nd phase</t>
  </si>
  <si>
    <t>Volumes to change 1st &amp; 2nd phase</t>
  </si>
  <si>
    <t>Total normalized revenues</t>
  </si>
  <si>
    <t>Other revenues</t>
  </si>
  <si>
    <t>Average cost of gas</t>
  </si>
  <si>
    <t>Base revenues b/f increase</t>
  </si>
  <si>
    <t>Volumetric Rate</t>
  </si>
  <si>
    <t>Customer Charge</t>
  </si>
  <si>
    <t>Magnolia Environs</t>
  </si>
  <si>
    <t>Base Load</t>
  </si>
  <si>
    <t>Degree days for each calendar month as reported by the U.S. Department of Commerce and as measured by the National Oceanic and Atmospheric Administration for the period 1997 through 2006 at Conroe, Texas.</t>
  </si>
  <si>
    <t>Conroe</t>
  </si>
  <si>
    <t>Jan</t>
  </si>
  <si>
    <t>Feb</t>
  </si>
  <si>
    <t>Mar</t>
  </si>
  <si>
    <t>Apr</t>
  </si>
  <si>
    <t>May</t>
  </si>
  <si>
    <t>Sep</t>
  </si>
  <si>
    <t>Oct</t>
  </si>
  <si>
    <t>Nov</t>
  </si>
  <si>
    <t>Dec</t>
  </si>
  <si>
    <t>AVG</t>
  </si>
  <si>
    <t>Note:  Degree days in the month of May were ignored.</t>
  </si>
  <si>
    <t>10 Yr Normal NOAA</t>
  </si>
  <si>
    <t>Increase in volumes</t>
  </si>
  <si>
    <t>If = 1, then N29 =0, 71,920</t>
  </si>
  <si>
    <t>If = 1, then N30 =0, 95,000</t>
  </si>
  <si>
    <t>Total Base Revenue Requirement</t>
  </si>
  <si>
    <t>Total Revenue Requirement</t>
  </si>
  <si>
    <t xml:space="preserve">     less:  other revenue</t>
  </si>
  <si>
    <t>Total Proposed Base Revenue Requirement</t>
  </si>
  <si>
    <t xml:space="preserve">       less:  City of Magnolia</t>
  </si>
  <si>
    <t>Service Charge</t>
  </si>
  <si>
    <t>Environs Mcf</t>
  </si>
  <si>
    <t>Environs Bills</t>
  </si>
  <si>
    <t>(1) From GUD No. 9620 Aransas Natural Gas</t>
  </si>
  <si>
    <t>To normalize HNG distribution share of State Franchise taxes</t>
  </si>
  <si>
    <t>Explanation for Adjustment</t>
  </si>
  <si>
    <t>Number of Customers</t>
  </si>
  <si>
    <t>to Hughes Natural Gas, Inc. (Frank Hicks and Real Provencher)</t>
  </si>
  <si>
    <t>Total Allocated Expenses</t>
  </si>
  <si>
    <t>Total Allocated HLPG &amp; HNG Expenses per Customer</t>
  </si>
  <si>
    <t>Allocated HLPG Expenses per Customer</t>
  </si>
  <si>
    <t>Page 1 of 2</t>
  </si>
  <si>
    <t>Proposed Customer Charge</t>
  </si>
  <si>
    <t>Proposed Service Charge</t>
  </si>
  <si>
    <t>Page 2 of 2</t>
  </si>
  <si>
    <t>RATE DESIGN and PROOF OF REVENUE - PROPOSED</t>
  </si>
  <si>
    <t>LINE NO.</t>
  </si>
  <si>
    <t>DESCRIPTION</t>
  </si>
  <si>
    <t>RATE BASE</t>
  </si>
  <si>
    <t>Schedule B</t>
  </si>
  <si>
    <t>Schedule C</t>
  </si>
  <si>
    <t>Schedule D</t>
  </si>
  <si>
    <t>Schedule F-1</t>
  </si>
  <si>
    <t>FEDERAL INCOME TAX</t>
  </si>
  <si>
    <t>HUGHES NATURAL GAS</t>
  </si>
  <si>
    <t>Schedule A</t>
  </si>
  <si>
    <t>Schedule A-1</t>
  </si>
  <si>
    <t>Schedule A-2</t>
  </si>
  <si>
    <t>Schedule B-1</t>
  </si>
  <si>
    <t>PLANT IN SERVICE AND DEPRECIATION EXPENSE</t>
  </si>
  <si>
    <t>ACCUMULATED DEPRECIATION</t>
  </si>
  <si>
    <t>Schedule B-2</t>
  </si>
  <si>
    <t>Schedule C-1</t>
  </si>
  <si>
    <t>ALLOCATION OF EXPENSES FROM AFFILIATES</t>
  </si>
  <si>
    <t>TEST YEAR REVENUES</t>
  </si>
  <si>
    <t>NORMALIZE BASE REVENUES</t>
  </si>
  <si>
    <t>Schedule D-1</t>
  </si>
  <si>
    <t>OTHER REVENUES</t>
  </si>
  <si>
    <t>Schedule D-2</t>
  </si>
  <si>
    <t>COST OF CAPITAL</t>
  </si>
  <si>
    <t>Schedule E</t>
  </si>
  <si>
    <t>REVENUE CALCULATION AND RATE DESIGN</t>
  </si>
  <si>
    <t>Schedule F</t>
  </si>
  <si>
    <t>RATE CASE EXPENSE CALCULATION</t>
  </si>
  <si>
    <t>Schedule F-2</t>
  </si>
  <si>
    <t>EXPENSE DETAIL</t>
  </si>
  <si>
    <t>Workpaper C-1</t>
  </si>
  <si>
    <t>Estimated Bills for Three Year Surcharge (Line 7 X 4 Years)</t>
  </si>
  <si>
    <t>TABLE OF CONTENTS  - EXAMINERS' SCHEDULES AND WORKPAPERS</t>
  </si>
  <si>
    <t>EXAMINERS' SCHEDULE</t>
  </si>
  <si>
    <t>EXAMINERS' SCHEDULE A</t>
  </si>
  <si>
    <t xml:space="preserve">          EXAMINERS' SCHEDULE A-1</t>
  </si>
  <si>
    <t xml:space="preserve">          EXAMINERS' SCHEDULE A-2</t>
  </si>
  <si>
    <t>EXAMINERS' SCHEDULE B</t>
  </si>
  <si>
    <t>EXAMINERS' SCHEDULE B-1</t>
  </si>
  <si>
    <t>EXAMINERS' SCHEDULE B-2</t>
  </si>
  <si>
    <t xml:space="preserve">              EXAMINERS' SCHEDULE C</t>
  </si>
  <si>
    <t>EXAMINERS' SCHEDULE C-1</t>
  </si>
  <si>
    <t>EXAMINERS' WORKPAPER C-1</t>
  </si>
  <si>
    <t>EXAMINERS' SCHEDULE  D</t>
  </si>
  <si>
    <t>EXAMINERS' SCHEDULE D-1</t>
  </si>
  <si>
    <t>EXAMINERS' SCHEDULE D-2</t>
  </si>
  <si>
    <t>EXAMINERS' SCHEDULE  E</t>
  </si>
  <si>
    <t>EXAMINERS' SCHEDULE  F</t>
  </si>
  <si>
    <t>EXAMINERS' SCHEDULE  F-1</t>
  </si>
  <si>
    <t>EXAMINERS' SCHEDULE  F-2</t>
  </si>
  <si>
    <t>Railroad Commission of Texas - GUD No. 9731 - Final Order</t>
  </si>
  <si>
    <t>Final Order</t>
  </si>
  <si>
    <t>RATE DESIGN and PROOF OF REVENUE - FINAL ORDER</t>
  </si>
  <si>
    <t>Final Order Customer Charge</t>
  </si>
  <si>
    <t>Final Order Service Charge</t>
  </si>
  <si>
    <t>Option 2 -Per Bill Flat Surcharge - FINAL ORDER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</si>
</sst>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00_);[Red]\(&quot;$&quot;#,##0.0000\)"/>
    <numFmt numFmtId="166" formatCode="#,##0.000000_);[Red]\(#,##0.000000\)"/>
    <numFmt numFmtId="167" formatCode="&quot;$&quot;#,##0"/>
    <numFmt numFmtId="168" formatCode="0.0"/>
    <numFmt numFmtId="169" formatCode="&quot;$&quot;#,##0.0"/>
    <numFmt numFmtId="170" formatCode="#,##0.0_);[Red]\(#,##0.0\)"/>
    <numFmt numFmtId="171" formatCode="#,##0.0_);\(#,##0.0\)"/>
    <numFmt numFmtId="172" formatCode="0.0000"/>
    <numFmt numFmtId="173" formatCode="0.0000_);[Red]\(0.0000\)"/>
    <numFmt numFmtId="174" formatCode="&quot;$&quot;#,##0.000_);[Red]\(&quot;$&quot;#,##0.000\)"/>
    <numFmt numFmtId="175" formatCode="0.0000%"/>
    <numFmt numFmtId="176" formatCode="0.0%"/>
    <numFmt numFmtId="177" formatCode="_(* #,##0.0_);_(* \(#,##0.0\);_(* &quot;-&quot;??_);_(@_)"/>
    <numFmt numFmtId="178" formatCode="_(* #,##0_);_(* \(#,##0\);_(* &quot;-&quot;??_);_(@_)"/>
    <numFmt numFmtId="179" formatCode="_(* #,##0.000_);_(* \(#,##0.000\);_(* &quot;-&quot;??_);_(@_)"/>
    <numFmt numFmtId="180" formatCode="_(* #,##0.0000_);_(* \(#,##0.0000\);_(* &quot;-&quot;??_);_(@_)"/>
    <numFmt numFmtId="181" formatCode="_(* #,##0.00000_);_(* \(#,##0.00000\);_(* &quot;-&quot;??_);_(@_)"/>
    <numFmt numFmtId="182" formatCode="_(* #,##0.000000_);_(* \(#,##0.000000\);_(* &quot;-&quot;??_);_(@_)"/>
    <numFmt numFmtId="183" formatCode="_(* #,##0.000000_);_(* \(#,##0.000000\);_(* &quot;-&quot;??????_);_(@_)"/>
    <numFmt numFmtId="184" formatCode="_(&quot;$&quot;* #,##0.0_);_(&quot;$&quot;* \(#,##0.0\);_(&quot;$&quot;* &quot;-&quot;??_);_(@_)"/>
    <numFmt numFmtId="185" formatCode="_(&quot;$&quot;* #,##0_);_(&quot;$&quot;* \(#,##0\);_(&quot;$&quot;* &quot;-&quot;??_);_(@_)"/>
    <numFmt numFmtId="186" formatCode="mmmm\ d\,\ yyyy"/>
    <numFmt numFmtId="187" formatCode="&quot;$&quot;#,##0.00"/>
    <numFmt numFmtId="188" formatCode="#,##0.0"/>
    <numFmt numFmtId="189" formatCode="[$-409]dddd\,\ mmmm\ dd\,\ yyyy"/>
    <numFmt numFmtId="190" formatCode="[$-409]mmm\-yy;@"/>
    <numFmt numFmtId="191" formatCode="0.000"/>
    <numFmt numFmtId="192" formatCode="&quot;$&quot;#,##0.0_);[Red]\(&quot;$&quot;#,##0.0\)"/>
    <numFmt numFmtId="193" formatCode="&quot;$&quot;#,##0.000_);\(&quot;$&quot;#,##0.000\)"/>
    <numFmt numFmtId="194" formatCode="&quot;$&quot;#,##0.0_);\(&quot;$&quot;#,##0.0\)"/>
    <numFmt numFmtId="195" formatCode="#,##0.00000000000_);\(#,##0.00000000000\)"/>
    <numFmt numFmtId="196" formatCode="#,##0.000000000000_);\(#,##0.000000000000\)"/>
    <numFmt numFmtId="197" formatCode="[$-409]h:mm:ss\ AM/PM"/>
    <numFmt numFmtId="198" formatCode="#,##0.00000000_);[Red]\(#,##0.00000000\)"/>
    <numFmt numFmtId="199" formatCode="#,##0.0000000000000000_);[Red]\(#,##0.0000000000000000\)"/>
    <numFmt numFmtId="200" formatCode="#,##0.000"/>
    <numFmt numFmtId="201" formatCode="0.00000%"/>
    <numFmt numFmtId="202" formatCode="&quot;$&quot;#,##0.000"/>
  </numFmts>
  <fonts count="50">
    <font>
      <sz val="10"/>
      <name val="Arial"/>
      <family val="0"/>
    </font>
    <font>
      <u val="single"/>
      <sz val="10.45"/>
      <color indexed="36"/>
      <name val="Arial"/>
      <family val="0"/>
    </font>
    <font>
      <u val="single"/>
      <sz val="10.45"/>
      <color indexed="12"/>
      <name val="Arial"/>
      <family val="0"/>
    </font>
    <font>
      <sz val="12"/>
      <name val="Times New Roman"/>
      <family val="0"/>
    </font>
    <font>
      <b/>
      <sz val="10"/>
      <name val="Times New Roman"/>
      <family val="1"/>
    </font>
    <font>
      <sz val="10"/>
      <name val="Times New Roman"/>
      <family val="1"/>
    </font>
    <font>
      <b/>
      <u val="single"/>
      <sz val="10"/>
      <name val="Times New Roman"/>
      <family val="1"/>
    </font>
    <font>
      <u val="single"/>
      <sz val="10"/>
      <name val="Times New Roman"/>
      <family val="1"/>
    </font>
    <font>
      <b/>
      <i/>
      <u val="single"/>
      <sz val="10"/>
      <name val="Times New Roman"/>
      <family val="1"/>
    </font>
    <font>
      <b/>
      <i/>
      <sz val="10"/>
      <name val="Times New Roman"/>
      <family val="1"/>
    </font>
    <font>
      <b/>
      <sz val="12"/>
      <name val="Times New Roman"/>
      <family val="1"/>
    </font>
    <font>
      <b/>
      <sz val="10"/>
      <name val="Arial"/>
      <family val="0"/>
    </font>
    <font>
      <b/>
      <sz val="18"/>
      <name val="Arial"/>
      <family val="0"/>
    </font>
    <font>
      <b/>
      <sz val="12"/>
      <name val="Arial"/>
      <family val="0"/>
    </font>
    <font>
      <b/>
      <sz val="14"/>
      <name val="Times New Roman"/>
      <family val="0"/>
    </font>
    <font>
      <b/>
      <sz val="8"/>
      <name val="Times New Roman"/>
      <family val="0"/>
    </font>
    <font>
      <sz val="8"/>
      <name val="Times New Roman"/>
      <family val="0"/>
    </font>
    <font>
      <sz val="9"/>
      <name val="Times New Roman"/>
      <family val="1"/>
    </font>
    <font>
      <b/>
      <sz val="16"/>
      <name val="Times New Roman"/>
      <family val="1"/>
    </font>
    <font>
      <b/>
      <sz val="9"/>
      <name val="Times New Roman"/>
      <family val="1"/>
    </font>
    <font>
      <sz val="7.5"/>
      <name val="Times New Roman"/>
      <family val="1"/>
    </font>
    <font>
      <sz val="6"/>
      <name val="Times New Roman"/>
      <family val="1"/>
    </font>
    <font>
      <b/>
      <sz val="11"/>
      <name val="Times New Roman"/>
      <family val="1"/>
    </font>
    <font>
      <i/>
      <sz val="10"/>
      <name val="Times New Roman"/>
      <family val="0"/>
    </font>
    <font>
      <sz val="10"/>
      <name val="Verdana"/>
      <family val="0"/>
    </font>
    <font>
      <b/>
      <sz val="10"/>
      <name val="Verdana"/>
      <family val="0"/>
    </font>
    <font>
      <u val="single"/>
      <sz val="10"/>
      <name val="Verdana"/>
      <family val="0"/>
    </font>
    <font>
      <b/>
      <u val="single"/>
      <sz val="10"/>
      <name val="Arial"/>
      <family val="0"/>
    </font>
    <font>
      <b/>
      <sz val="13"/>
      <name val="Times New Roman"/>
      <family val="1"/>
    </font>
    <font>
      <u val="single"/>
      <sz val="8"/>
      <name val="Times New Roman"/>
      <family val="1"/>
    </font>
    <font>
      <b/>
      <i/>
      <sz val="10"/>
      <name val="Arial"/>
      <family val="2"/>
    </font>
    <font>
      <sz val="12"/>
      <name val="Arial"/>
      <family val="0"/>
    </font>
    <font>
      <b/>
      <u val="single"/>
      <sz val="12"/>
      <name val="Times New Roman"/>
      <family val="1"/>
    </font>
    <font>
      <sz val="12"/>
      <color indexed="9"/>
      <name val="Times New Roman"/>
      <family val="1"/>
    </font>
    <font>
      <b/>
      <sz val="12"/>
      <color indexed="9"/>
      <name val="Times New Roman"/>
      <family val="1"/>
    </font>
    <font>
      <sz val="10"/>
      <color indexed="9"/>
      <name val="Arial"/>
      <family val="0"/>
    </font>
    <font>
      <u val="single"/>
      <sz val="12"/>
      <name val="Times New Roman"/>
      <family val="1"/>
    </font>
    <font>
      <b/>
      <i/>
      <u val="single"/>
      <sz val="12"/>
      <name val="Times New Roman"/>
      <family val="1"/>
    </font>
    <font>
      <sz val="12"/>
      <color indexed="8"/>
      <name val="Times"/>
      <family val="0"/>
    </font>
    <font>
      <sz val="10"/>
      <color indexed="48"/>
      <name val="Verdana"/>
      <family val="2"/>
    </font>
    <font>
      <sz val="10"/>
      <color indexed="12"/>
      <name val="Verdana"/>
      <family val="2"/>
    </font>
    <font>
      <sz val="11"/>
      <name val="Verdana"/>
      <family val="2"/>
    </font>
    <font>
      <b/>
      <sz val="10"/>
      <color indexed="12"/>
      <name val="Arial"/>
      <family val="2"/>
    </font>
    <font>
      <b/>
      <sz val="11"/>
      <name val="Verdana"/>
      <family val="2"/>
    </font>
    <font>
      <b/>
      <sz val="16"/>
      <color indexed="8"/>
      <name val="Arial"/>
      <family val="2"/>
    </font>
    <font>
      <b/>
      <sz val="14"/>
      <color indexed="8"/>
      <name val="Arial"/>
      <family val="2"/>
    </font>
    <font>
      <b/>
      <sz val="11"/>
      <color indexed="8"/>
      <name val="Arial"/>
      <family val="2"/>
    </font>
    <font>
      <u val="single"/>
      <sz val="11"/>
      <color indexed="8"/>
      <name val="Arial"/>
      <family val="2"/>
    </font>
    <font>
      <sz val="11"/>
      <name val="Arial"/>
      <family val="0"/>
    </font>
    <font>
      <sz val="10"/>
      <color indexed="8"/>
      <name val="Arial"/>
      <family val="2"/>
    </font>
  </fonts>
  <fills count="8">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68">
    <border>
      <left/>
      <right/>
      <top/>
      <bottom/>
      <diagonal/>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color indexed="63"/>
      </bottom>
    </border>
    <border>
      <left style="thin"/>
      <right style="thin"/>
      <top>
        <color indexed="63"/>
      </top>
      <bottom style="thin"/>
    </border>
    <border>
      <left style="medium"/>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thin"/>
      <top>
        <color indexed="63"/>
      </top>
      <bottom style="thin"/>
    </border>
    <border>
      <left style="thin"/>
      <right>
        <color indexed="63"/>
      </right>
      <top>
        <color indexed="63"/>
      </top>
      <bottom style="thin"/>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thin"/>
      <bottom style="medium"/>
    </border>
    <border>
      <left style="medium"/>
      <right style="thin"/>
      <top style="thin"/>
      <bottom style="medium"/>
    </border>
    <border>
      <left style="thin"/>
      <right>
        <color indexed="63"/>
      </right>
      <top style="medium"/>
      <bottom style="medium"/>
    </border>
    <border>
      <left>
        <color indexed="63"/>
      </left>
      <right>
        <color indexed="63"/>
      </right>
      <top style="medium"/>
      <bottom>
        <color indexed="63"/>
      </bottom>
    </border>
    <border>
      <left>
        <color indexed="63"/>
      </left>
      <right style="thin"/>
      <top>
        <color indexed="63"/>
      </top>
      <bottom style="thin"/>
    </border>
    <border>
      <left>
        <color indexed="63"/>
      </left>
      <right style="medium"/>
      <top style="medium"/>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style="thin"/>
    </border>
    <border>
      <left>
        <color indexed="63"/>
      </left>
      <right style="thin"/>
      <top>
        <color indexed="63"/>
      </top>
      <bottom>
        <color indexed="63"/>
      </bottom>
    </border>
    <border>
      <left style="medium"/>
      <right style="medium"/>
      <top>
        <color indexed="63"/>
      </top>
      <bottom style="thin"/>
    </border>
    <border>
      <left style="medium"/>
      <right>
        <color indexed="63"/>
      </right>
      <top style="medium"/>
      <bottom style="medium"/>
    </border>
    <border>
      <left style="thin"/>
      <right style="thin"/>
      <top>
        <color indexed="63"/>
      </top>
      <bottom style="medium"/>
    </border>
    <border>
      <left>
        <color indexed="63"/>
      </left>
      <right style="thin"/>
      <top>
        <color indexed="63"/>
      </top>
      <bottom style="medium"/>
    </border>
    <border>
      <left style="thin"/>
      <right>
        <color indexed="63"/>
      </right>
      <top style="thin"/>
      <bottom style="medium"/>
    </border>
    <border>
      <left style="thin"/>
      <right style="thin"/>
      <top style="thin"/>
      <bottom style="medium"/>
    </border>
    <border>
      <left style="thin"/>
      <right style="thin"/>
      <top style="medium"/>
      <bottom style="medium"/>
    </border>
    <border>
      <left>
        <color indexed="63"/>
      </left>
      <right style="thin"/>
      <top style="thin"/>
      <bottom style="thin"/>
    </border>
    <border>
      <left style="thin"/>
      <right style="medium"/>
      <top style="medium"/>
      <bottom style="medium"/>
    </border>
    <border>
      <left>
        <color indexed="63"/>
      </left>
      <right style="thin"/>
      <top style="medium"/>
      <bottom style="thin"/>
    </border>
    <border>
      <left>
        <color indexed="63"/>
      </left>
      <right style="medium"/>
      <top style="medium"/>
      <bottom style="thin"/>
    </border>
    <border>
      <left style="thin"/>
      <right style="medium"/>
      <top style="thin"/>
      <bottom style="thin"/>
    </border>
    <border>
      <left style="thin"/>
      <right style="medium"/>
      <top style="medium"/>
      <bottom style="thin"/>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thin"/>
    </border>
    <border>
      <left style="thin"/>
      <right style="medium"/>
      <top>
        <color indexed="63"/>
      </top>
      <bottom style="thin"/>
    </border>
    <border>
      <left>
        <color indexed="63"/>
      </left>
      <right style="medium"/>
      <top style="thin"/>
      <bottom style="thin"/>
    </border>
    <border>
      <left style="thin"/>
      <right style="medium"/>
      <top>
        <color indexed="63"/>
      </top>
      <bottom>
        <color indexed="63"/>
      </bottom>
    </border>
    <border>
      <left>
        <color indexed="63"/>
      </left>
      <right>
        <color indexed="63"/>
      </right>
      <top style="medium"/>
      <bottom style="double"/>
    </border>
    <border>
      <left style="thin"/>
      <right>
        <color indexed="63"/>
      </right>
      <top style="thin"/>
      <bottom>
        <color indexed="63"/>
      </bottom>
    </border>
    <border>
      <left>
        <color indexed="63"/>
      </left>
      <right>
        <color indexed="63"/>
      </right>
      <top style="thin"/>
      <bottom style="medium"/>
    </border>
    <border>
      <left>
        <color indexed="63"/>
      </left>
      <right style="medium"/>
      <top style="thin"/>
      <bottom style="mediu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ill="0" applyBorder="0" applyAlignment="0" applyProtection="0"/>
    <xf numFmtId="186" fontId="0" fillId="0" borderId="0" applyFill="0" applyBorder="0" applyAlignment="0" applyProtection="0"/>
    <xf numFmtId="2" fontId="0" fillId="0" borderId="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0">
      <alignment/>
      <protection/>
    </xf>
    <xf numFmtId="0" fontId="24" fillId="0" borderId="0">
      <alignment/>
      <protection/>
    </xf>
    <xf numFmtId="0" fontId="0" fillId="0" borderId="0">
      <alignment/>
      <protection/>
    </xf>
    <xf numFmtId="0" fontId="3" fillId="0" borderId="0">
      <alignment/>
      <protection/>
    </xf>
    <xf numFmtId="9" fontId="0" fillId="0" borderId="0" applyFont="0" applyFill="0" applyBorder="0" applyAlignment="0" applyProtection="0"/>
    <xf numFmtId="0" fontId="0" fillId="0" borderId="1" applyNumberFormat="0" applyFill="0" applyAlignment="0" applyProtection="0"/>
  </cellStyleXfs>
  <cellXfs count="76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6" fillId="0" borderId="0" xfId="0" applyFont="1" applyAlignment="1">
      <alignment/>
    </xf>
    <xf numFmtId="0" fontId="5" fillId="0" borderId="0" xfId="0" applyFont="1" applyBorder="1" applyAlignment="1">
      <alignment horizontal="center"/>
    </xf>
    <xf numFmtId="0" fontId="5" fillId="0" borderId="0" xfId="0" applyFont="1" applyBorder="1" applyAlignment="1">
      <alignment/>
    </xf>
    <xf numFmtId="0" fontId="5" fillId="0" borderId="0" xfId="0" applyFont="1" applyAlignment="1">
      <alignment horizontal="center" vertical="top"/>
    </xf>
    <xf numFmtId="0" fontId="5" fillId="0" borderId="0" xfId="0" applyFont="1" applyAlignment="1">
      <alignment vertical="top"/>
    </xf>
    <xf numFmtId="0" fontId="4" fillId="0" borderId="0" xfId="0" applyFont="1" applyAlignment="1">
      <alignment horizontal="center" vertical="top"/>
    </xf>
    <xf numFmtId="164" fontId="5" fillId="0" borderId="0" xfId="0" applyNumberFormat="1" applyFont="1" applyAlignment="1">
      <alignment vertical="top"/>
    </xf>
    <xf numFmtId="0" fontId="5" fillId="0" borderId="0" xfId="0" applyFont="1" applyAlignment="1">
      <alignment vertical="top" wrapText="1"/>
    </xf>
    <xf numFmtId="6" fontId="5" fillId="0" borderId="0" xfId="0" applyNumberFormat="1" applyFont="1" applyAlignment="1">
      <alignment vertical="top"/>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center" vertical="top" wrapText="1"/>
    </xf>
    <xf numFmtId="0" fontId="4" fillId="0" borderId="0" xfId="0" applyFont="1" applyBorder="1" applyAlignment="1">
      <alignment horizontal="center" vertical="top" wrapText="1"/>
    </xf>
    <xf numFmtId="164" fontId="4" fillId="0" borderId="0" xfId="0" applyNumberFormat="1" applyFont="1" applyBorder="1" applyAlignment="1">
      <alignment horizontal="center" vertical="top" wrapText="1"/>
    </xf>
    <xf numFmtId="6" fontId="4" fillId="0" borderId="0" xfId="0" applyNumberFormat="1" applyFont="1" applyBorder="1" applyAlignment="1">
      <alignment horizontal="center" vertical="top" wrapText="1"/>
    </xf>
    <xf numFmtId="0" fontId="5" fillId="0" borderId="0" xfId="0" applyFont="1" applyAlignment="1">
      <alignment horizontal="center" vertical="top" wrapText="1"/>
    </xf>
    <xf numFmtId="0" fontId="5" fillId="0" borderId="0" xfId="0" applyFont="1" applyBorder="1" applyAlignment="1">
      <alignment vertical="top" wrapText="1"/>
    </xf>
    <xf numFmtId="164" fontId="5" fillId="0" borderId="0" xfId="0" applyNumberFormat="1" applyFont="1" applyBorder="1" applyAlignment="1">
      <alignment vertical="top" wrapText="1"/>
    </xf>
    <xf numFmtId="6" fontId="5" fillId="0" borderId="0" xfId="0" applyNumberFormat="1"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xf>
    <xf numFmtId="0" fontId="5" fillId="0" borderId="2" xfId="0" applyFont="1" applyBorder="1" applyAlignment="1">
      <alignment horizontal="center" vertical="top" wrapText="1"/>
    </xf>
    <xf numFmtId="0" fontId="5" fillId="0" borderId="2" xfId="0" applyFont="1" applyBorder="1" applyAlignment="1">
      <alignment vertical="top" wrapText="1"/>
    </xf>
    <xf numFmtId="6" fontId="5" fillId="0" borderId="2" xfId="0" applyNumberFormat="1" applyFont="1" applyBorder="1" applyAlignment="1">
      <alignment vertical="top" wrapText="1"/>
    </xf>
    <xf numFmtId="166" fontId="5" fillId="0" borderId="0" xfId="0" applyNumberFormat="1" applyFont="1" applyBorder="1" applyAlignment="1">
      <alignment vertical="top" wrapText="1"/>
    </xf>
    <xf numFmtId="6" fontId="5" fillId="0" borderId="0" xfId="0" applyNumberFormat="1" applyFont="1" applyAlignment="1">
      <alignment vertical="top" wrapText="1"/>
    </xf>
    <xf numFmtId="0" fontId="5" fillId="0" borderId="0" xfId="0" applyFont="1" applyBorder="1" applyAlignment="1">
      <alignment vertical="top"/>
    </xf>
    <xf numFmtId="164" fontId="5" fillId="0" borderId="0" xfId="0" applyNumberFormat="1" applyFont="1" applyAlignment="1">
      <alignment vertical="top" wrapText="1"/>
    </xf>
    <xf numFmtId="0" fontId="5" fillId="0" borderId="0" xfId="0" applyFont="1" applyAlignment="1">
      <alignment horizontal="centerContinuous"/>
    </xf>
    <xf numFmtId="0" fontId="4" fillId="0" borderId="0" xfId="0" applyFont="1" applyAlignment="1">
      <alignment horizontal="centerContinuous"/>
    </xf>
    <xf numFmtId="10" fontId="5" fillId="0" borderId="0" xfId="0" applyNumberFormat="1" applyFont="1" applyAlignment="1">
      <alignment/>
    </xf>
    <xf numFmtId="10" fontId="4" fillId="0" borderId="0" xfId="0" applyNumberFormat="1" applyFont="1" applyAlignment="1" quotePrefix="1">
      <alignment/>
    </xf>
    <xf numFmtId="10" fontId="5" fillId="0" borderId="2" xfId="0" applyNumberFormat="1" applyFont="1" applyBorder="1" applyAlignment="1">
      <alignment/>
    </xf>
    <xf numFmtId="5" fontId="5" fillId="0" borderId="0" xfId="0" applyNumberFormat="1" applyFont="1" applyAlignment="1">
      <alignment/>
    </xf>
    <xf numFmtId="37" fontId="5" fillId="0" borderId="0" xfId="0" applyNumberFormat="1" applyFont="1" applyAlignment="1">
      <alignment/>
    </xf>
    <xf numFmtId="0" fontId="8" fillId="0" borderId="0" xfId="0" applyFont="1" applyAlignment="1">
      <alignment/>
    </xf>
    <xf numFmtId="38" fontId="5" fillId="0" borderId="0" xfId="0" applyNumberFormat="1" applyFont="1" applyAlignment="1">
      <alignment/>
    </xf>
    <xf numFmtId="0" fontId="5" fillId="0" borderId="2" xfId="0" applyFont="1" applyBorder="1" applyAlignment="1">
      <alignment/>
    </xf>
    <xf numFmtId="6" fontId="4" fillId="0" borderId="0" xfId="0" applyNumberFormat="1" applyFont="1" applyAlignment="1">
      <alignment/>
    </xf>
    <xf numFmtId="6" fontId="4" fillId="0" borderId="3" xfId="0" applyNumberFormat="1" applyFont="1" applyBorder="1" applyAlignment="1">
      <alignment/>
    </xf>
    <xf numFmtId="6" fontId="4" fillId="0" borderId="0" xfId="0" applyNumberFormat="1" applyFont="1" applyBorder="1" applyAlignment="1">
      <alignment horizontal="center" vertical="center" wrapText="1"/>
    </xf>
    <xf numFmtId="164" fontId="5" fillId="0" borderId="0" xfId="0" applyNumberFormat="1" applyFont="1" applyBorder="1" applyAlignment="1">
      <alignment horizontal="center" vertical="top" wrapText="1"/>
    </xf>
    <xf numFmtId="0" fontId="5" fillId="0" borderId="0" xfId="0" applyFont="1" applyAlignment="1">
      <alignment horizontal="left"/>
    </xf>
    <xf numFmtId="38" fontId="5" fillId="0" borderId="0" xfId="0" applyNumberFormat="1" applyFont="1" applyBorder="1" applyAlignment="1">
      <alignment horizontal="right" vertical="top" wrapText="1"/>
    </xf>
    <xf numFmtId="0" fontId="5" fillId="0" borderId="0" xfId="0" applyFont="1" applyAlignment="1">
      <alignment horizontal="right" vertical="top" wrapText="1"/>
    </xf>
    <xf numFmtId="43" fontId="5" fillId="0" borderId="0" xfId="0" applyNumberFormat="1" applyFont="1" applyAlignment="1">
      <alignment horizontal="right" vertical="top" wrapText="1"/>
    </xf>
    <xf numFmtId="0" fontId="5" fillId="0" borderId="0" xfId="0" applyFont="1" applyFill="1" applyBorder="1" applyAlignment="1">
      <alignment vertical="top" wrapText="1"/>
    </xf>
    <xf numFmtId="38" fontId="5" fillId="0" borderId="0" xfId="0" applyNumberFormat="1" applyFont="1" applyBorder="1" applyAlignment="1">
      <alignment horizontal="right"/>
    </xf>
    <xf numFmtId="38" fontId="5" fillId="0" borderId="0" xfId="0" applyNumberFormat="1" applyFont="1" applyFill="1" applyBorder="1" applyAlignment="1">
      <alignment horizontal="right" vertical="top" wrapText="1"/>
    </xf>
    <xf numFmtId="6" fontId="5" fillId="0" borderId="0" xfId="0" applyNumberFormat="1" applyFont="1" applyBorder="1" applyAlignment="1">
      <alignment horizontal="right" vertical="top" wrapText="1"/>
    </xf>
    <xf numFmtId="6" fontId="5" fillId="0" borderId="0" xfId="0" applyNumberFormat="1" applyFont="1" applyAlignment="1">
      <alignment/>
    </xf>
    <xf numFmtId="0" fontId="4" fillId="0" borderId="0" xfId="0" applyFont="1" applyAlignment="1">
      <alignment horizontal="left"/>
    </xf>
    <xf numFmtId="0" fontId="4" fillId="0" borderId="0" xfId="0" applyFont="1" applyBorder="1" applyAlignment="1">
      <alignment/>
    </xf>
    <xf numFmtId="0" fontId="4" fillId="0" borderId="0" xfId="0" applyFont="1" applyBorder="1" applyAlignment="1">
      <alignment horizontal="center"/>
    </xf>
    <xf numFmtId="38" fontId="5" fillId="0" borderId="0" xfId="0" applyNumberFormat="1" applyFont="1" applyBorder="1" applyAlignment="1">
      <alignment vertical="top" wrapText="1"/>
    </xf>
    <xf numFmtId="0" fontId="4" fillId="0" borderId="0" xfId="0" applyFont="1" applyAlignment="1">
      <alignment horizontal="centerContinuous" vertical="top"/>
    </xf>
    <xf numFmtId="164" fontId="5" fillId="0" borderId="0" xfId="0" applyNumberFormat="1" applyFont="1" applyAlignment="1">
      <alignment horizontal="centerContinuous" vertical="top"/>
    </xf>
    <xf numFmtId="164" fontId="4" fillId="0" borderId="0" xfId="0" applyNumberFormat="1" applyFont="1" applyAlignment="1">
      <alignment horizontal="centerContinuous" vertical="top"/>
    </xf>
    <xf numFmtId="0" fontId="5" fillId="0" borderId="0" xfId="0" applyFont="1" applyBorder="1" applyAlignment="1">
      <alignment horizontal="center" vertical="top"/>
    </xf>
    <xf numFmtId="164" fontId="4" fillId="0" borderId="0" xfId="0" applyNumberFormat="1" applyFont="1" applyBorder="1" applyAlignment="1">
      <alignment horizontal="center" vertical="top"/>
    </xf>
    <xf numFmtId="6" fontId="4" fillId="0" borderId="0" xfId="0" applyNumberFormat="1" applyFont="1" applyBorder="1" applyAlignment="1">
      <alignment horizontal="center" vertical="top"/>
    </xf>
    <xf numFmtId="0" fontId="4" fillId="0" borderId="0" xfId="0" applyFont="1" applyBorder="1" applyAlignment="1">
      <alignment horizontal="center" vertical="top"/>
    </xf>
    <xf numFmtId="0" fontId="5" fillId="0" borderId="0" xfId="0" applyFont="1" applyAlignment="1">
      <alignment/>
    </xf>
    <xf numFmtId="0" fontId="9" fillId="0" borderId="0" xfId="0" applyFont="1" applyAlignment="1">
      <alignment/>
    </xf>
    <xf numFmtId="0" fontId="6" fillId="0" borderId="0" xfId="0" applyFont="1" applyBorder="1" applyAlignment="1">
      <alignment vertical="top" wrapText="1"/>
    </xf>
    <xf numFmtId="38" fontId="5" fillId="0" borderId="0" xfId="0" applyNumberFormat="1" applyFont="1" applyBorder="1" applyAlignment="1">
      <alignment/>
    </xf>
    <xf numFmtId="6" fontId="4" fillId="0" borderId="0" xfId="0" applyNumberFormat="1" applyFont="1" applyBorder="1" applyAlignment="1">
      <alignment/>
    </xf>
    <xf numFmtId="38" fontId="4" fillId="0" borderId="0" xfId="0" applyNumberFormat="1" applyFont="1" applyBorder="1" applyAlignment="1">
      <alignment/>
    </xf>
    <xf numFmtId="164" fontId="4" fillId="0" borderId="0" xfId="0" applyNumberFormat="1" applyFont="1" applyBorder="1" applyAlignment="1">
      <alignment horizontal="center"/>
    </xf>
    <xf numFmtId="0" fontId="5" fillId="0" borderId="0" xfId="0" applyFont="1" applyBorder="1" applyAlignment="1">
      <alignment/>
    </xf>
    <xf numFmtId="0" fontId="5" fillId="0" borderId="0" xfId="0" applyFont="1" applyAlignment="1">
      <alignment horizontal="centerContinuous" vertical="top"/>
    </xf>
    <xf numFmtId="6" fontId="5" fillId="0" borderId="0" xfId="0" applyNumberFormat="1" applyFont="1" applyAlignment="1">
      <alignment horizontal="centerContinuous" vertical="top"/>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164" fontId="5" fillId="0" borderId="0" xfId="0" applyNumberFormat="1" applyFont="1" applyAlignment="1">
      <alignment horizontal="centerContinuous" vertical="center"/>
    </xf>
    <xf numFmtId="6" fontId="5" fillId="0" borderId="0" xfId="0" applyNumberFormat="1" applyFont="1" applyAlignment="1">
      <alignment horizontal="centerContinuous" vertical="center"/>
    </xf>
    <xf numFmtId="6" fontId="4" fillId="0" borderId="0" xfId="0" applyNumberFormat="1" applyFont="1" applyAlignment="1">
      <alignment horizontal="centerContinuous" vertical="center"/>
    </xf>
    <xf numFmtId="164" fontId="4" fillId="0" borderId="0" xfId="0" applyNumberFormat="1" applyFont="1" applyAlignment="1">
      <alignment horizontal="centerContinuous" vertical="center"/>
    </xf>
    <xf numFmtId="0" fontId="4" fillId="0" borderId="4" xfId="15" applyNumberFormat="1" applyFont="1" applyBorder="1" applyAlignment="1">
      <alignment horizontal="center"/>
    </xf>
    <xf numFmtId="0" fontId="5" fillId="0" borderId="5" xfId="0" applyFont="1" applyBorder="1" applyAlignment="1">
      <alignment/>
    </xf>
    <xf numFmtId="164" fontId="4" fillId="0" borderId="6"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5" fillId="0" borderId="6" xfId="0" applyFont="1" applyBorder="1" applyAlignment="1">
      <alignment/>
    </xf>
    <xf numFmtId="164" fontId="4" fillId="0" borderId="6" xfId="0" applyNumberFormat="1" applyFont="1" applyBorder="1" applyAlignment="1">
      <alignment horizontal="center" vertical="top"/>
    </xf>
    <xf numFmtId="164" fontId="4" fillId="0" borderId="4" xfId="0" applyNumberFormat="1" applyFont="1" applyBorder="1" applyAlignment="1">
      <alignment horizontal="centerContinuous"/>
    </xf>
    <xf numFmtId="0" fontId="6" fillId="0" borderId="0" xfId="0" applyFont="1" applyFill="1" applyBorder="1" applyAlignment="1">
      <alignment horizontal="left" vertical="center"/>
    </xf>
    <xf numFmtId="0" fontId="4" fillId="0" borderId="6" xfId="0" applyFont="1" applyBorder="1" applyAlignment="1">
      <alignment horizontal="centerContinuous"/>
    </xf>
    <xf numFmtId="0" fontId="4" fillId="0" borderId="4" xfId="0" applyFont="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Continuous"/>
    </xf>
    <xf numFmtId="164" fontId="4" fillId="0" borderId="6" xfId="0" applyNumberFormat="1" applyFont="1" applyBorder="1" applyAlignment="1">
      <alignment horizontal="centerContinuous"/>
    </xf>
    <xf numFmtId="6" fontId="5" fillId="0" borderId="0" xfId="0" applyNumberFormat="1" applyFont="1" applyBorder="1" applyAlignment="1">
      <alignment vertical="top"/>
    </xf>
    <xf numFmtId="0" fontId="5" fillId="0" borderId="0" xfId="0" applyFont="1" applyFill="1" applyBorder="1" applyAlignment="1">
      <alignment vertical="top"/>
    </xf>
    <xf numFmtId="10" fontId="5" fillId="0" borderId="0" xfId="0" applyNumberFormat="1" applyFont="1" applyBorder="1" applyAlignment="1">
      <alignment vertical="top" wrapText="1"/>
    </xf>
    <xf numFmtId="6" fontId="5" fillId="0" borderId="2" xfId="0" applyNumberFormat="1" applyFont="1" applyBorder="1" applyAlignment="1">
      <alignment/>
    </xf>
    <xf numFmtId="6" fontId="5" fillId="0" borderId="0" xfId="0" applyNumberFormat="1" applyFont="1" applyBorder="1" applyAlignment="1">
      <alignment/>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6" fontId="4" fillId="0" borderId="7" xfId="0" applyNumberFormat="1" applyFont="1" applyBorder="1" applyAlignment="1">
      <alignment horizontal="center" vertical="center" wrapText="1"/>
    </xf>
    <xf numFmtId="0" fontId="4" fillId="0" borderId="0" xfId="0" applyFont="1" applyBorder="1" applyAlignment="1">
      <alignment/>
    </xf>
    <xf numFmtId="0" fontId="4" fillId="0" borderId="6" xfId="0" applyFont="1" applyBorder="1" applyAlignment="1">
      <alignment horizontal="center" vertical="top" wrapText="1"/>
    </xf>
    <xf numFmtId="0" fontId="5" fillId="0" borderId="8" xfId="0" applyFont="1" applyBorder="1" applyAlignment="1">
      <alignment/>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6" xfId="0" applyFont="1" applyBorder="1" applyAlignment="1">
      <alignment horizontal="center" vertical="top"/>
    </xf>
    <xf numFmtId="0" fontId="4" fillId="0" borderId="4" xfId="0" applyFont="1" applyBorder="1" applyAlignment="1">
      <alignment horizontal="center" vertical="top"/>
    </xf>
    <xf numFmtId="6" fontId="6" fillId="0" borderId="0" xfId="0" applyNumberFormat="1" applyFont="1" applyBorder="1" applyAlignment="1">
      <alignment horizontal="center" vertical="top"/>
    </xf>
    <xf numFmtId="6" fontId="4" fillId="0" borderId="0" xfId="0" applyNumberFormat="1" applyFont="1" applyBorder="1" applyAlignment="1">
      <alignment vertical="top"/>
    </xf>
    <xf numFmtId="0" fontId="5" fillId="0" borderId="0" xfId="0" applyFont="1" applyBorder="1" applyAlignment="1">
      <alignment horizontal="left" vertical="top"/>
    </xf>
    <xf numFmtId="0" fontId="4" fillId="0" borderId="6" xfId="0" applyFont="1" applyBorder="1" applyAlignment="1">
      <alignment horizontal="center"/>
    </xf>
    <xf numFmtId="0" fontId="4" fillId="0" borderId="11" xfId="0" applyFont="1" applyBorder="1" applyAlignment="1">
      <alignment horizontal="center"/>
    </xf>
    <xf numFmtId="0" fontId="4" fillId="0" borderId="11" xfId="0" applyFont="1" applyBorder="1" applyAlignment="1">
      <alignment horizontal="center" vertical="center"/>
    </xf>
    <xf numFmtId="6" fontId="5" fillId="0" borderId="0" xfId="0" applyNumberFormat="1" applyFont="1" applyAlignment="1">
      <alignment/>
    </xf>
    <xf numFmtId="6" fontId="4" fillId="0" borderId="0" xfId="0" applyNumberFormat="1" applyFont="1" applyAlignment="1">
      <alignment/>
    </xf>
    <xf numFmtId="0" fontId="4" fillId="0" borderId="0" xfId="0" applyFont="1" applyBorder="1" applyAlignment="1" quotePrefix="1">
      <alignment horizontal="center"/>
    </xf>
    <xf numFmtId="0" fontId="4" fillId="0" borderId="0" xfId="0" applyFont="1" applyBorder="1" applyAlignment="1" quotePrefix="1">
      <alignment/>
    </xf>
    <xf numFmtId="0" fontId="5" fillId="0" borderId="9" xfId="0" applyFont="1" applyBorder="1" applyAlignment="1">
      <alignment/>
    </xf>
    <xf numFmtId="0" fontId="5" fillId="0" borderId="10" xfId="0" applyFont="1" applyBorder="1" applyAlignment="1">
      <alignment/>
    </xf>
    <xf numFmtId="5" fontId="4" fillId="0" borderId="3" xfId="0" applyNumberFormat="1" applyFont="1" applyBorder="1" applyAlignment="1">
      <alignment/>
    </xf>
    <xf numFmtId="164" fontId="4" fillId="0" borderId="0" xfId="0" applyNumberFormat="1" applyFont="1" applyAlignment="1">
      <alignment horizontal="centerContinuous"/>
    </xf>
    <xf numFmtId="6" fontId="4" fillId="0" borderId="0" xfId="0" applyNumberFormat="1" applyFont="1" applyAlignment="1">
      <alignment horizontal="centerContinuous"/>
    </xf>
    <xf numFmtId="164" fontId="10" fillId="0" borderId="0" xfId="0" applyNumberFormat="1" applyFont="1" applyAlignment="1">
      <alignment horizontal="right" vertical="top"/>
    </xf>
    <xf numFmtId="0" fontId="10" fillId="0" borderId="0" xfId="0" applyFont="1" applyAlignment="1">
      <alignment horizontal="right"/>
    </xf>
    <xf numFmtId="6" fontId="10" fillId="0" borderId="0" xfId="0" applyNumberFormat="1" applyFont="1" applyAlignment="1">
      <alignment horizontal="right" vertical="top"/>
    </xf>
    <xf numFmtId="0" fontId="10" fillId="0" borderId="0" xfId="0" applyFont="1" applyAlignment="1">
      <alignment horizontal="right" vertical="top"/>
    </xf>
    <xf numFmtId="6" fontId="5" fillId="0" borderId="0" xfId="0" applyNumberFormat="1" applyFont="1" applyFill="1" applyBorder="1" applyAlignment="1">
      <alignment vertical="top" wrapText="1"/>
    </xf>
    <xf numFmtId="164" fontId="5" fillId="0" borderId="0" xfId="0" applyNumberFormat="1" applyFont="1" applyFill="1" applyBorder="1" applyAlignment="1">
      <alignment vertical="top" wrapText="1"/>
    </xf>
    <xf numFmtId="164" fontId="5" fillId="0" borderId="2" xfId="0" applyNumberFormat="1" applyFont="1" applyFill="1" applyBorder="1" applyAlignment="1">
      <alignment vertical="top" wrapText="1"/>
    </xf>
    <xf numFmtId="6" fontId="0" fillId="0" borderId="0" xfId="0" applyNumberFormat="1" applyAlignment="1">
      <alignment/>
    </xf>
    <xf numFmtId="8" fontId="5" fillId="0" borderId="0" xfId="0" applyNumberFormat="1" applyFont="1" applyAlignment="1">
      <alignment/>
    </xf>
    <xf numFmtId="6" fontId="7" fillId="0" borderId="0" xfId="0" applyNumberFormat="1" applyFont="1" applyAlignment="1">
      <alignment/>
    </xf>
    <xf numFmtId="165" fontId="5" fillId="0" borderId="0" xfId="0" applyNumberFormat="1" applyFont="1" applyAlignment="1">
      <alignment/>
    </xf>
    <xf numFmtId="6" fontId="4" fillId="0" borderId="4" xfId="0" applyNumberFormat="1" applyFont="1" applyBorder="1" applyAlignment="1">
      <alignment horizontal="center" vertical="center"/>
    </xf>
    <xf numFmtId="0" fontId="0" fillId="0" borderId="0" xfId="0" applyBorder="1" applyAlignment="1">
      <alignment/>
    </xf>
    <xf numFmtId="6" fontId="5" fillId="0" borderId="0" xfId="0" applyNumberFormat="1" applyFont="1" applyBorder="1" applyAlignment="1">
      <alignment/>
    </xf>
    <xf numFmtId="6" fontId="4" fillId="0" borderId="6" xfId="0" applyNumberFormat="1" applyFont="1" applyBorder="1" applyAlignment="1">
      <alignment horizontal="center" vertical="center"/>
    </xf>
    <xf numFmtId="0" fontId="4" fillId="0" borderId="0" xfId="0" applyFont="1" applyBorder="1" applyAlignment="1">
      <alignment horizontal="centerContinuous"/>
    </xf>
    <xf numFmtId="0" fontId="4" fillId="0" borderId="6" xfId="32" applyFont="1" applyFill="1" applyBorder="1" applyAlignment="1">
      <alignment horizontal="centerContinuous"/>
      <protection/>
    </xf>
    <xf numFmtId="0" fontId="5" fillId="0" borderId="0" xfId="0" applyFont="1" applyAlignment="1" quotePrefix="1">
      <alignment/>
    </xf>
    <xf numFmtId="6" fontId="5" fillId="0" borderId="0" xfId="0" applyNumberFormat="1" applyFont="1" applyBorder="1" applyAlignment="1">
      <alignment horizontal="centerContinuous" vertical="center"/>
    </xf>
    <xf numFmtId="164" fontId="4" fillId="0" borderId="6" xfId="0" applyNumberFormat="1" applyFont="1" applyBorder="1" applyAlignment="1">
      <alignment horizontal="center"/>
    </xf>
    <xf numFmtId="0" fontId="5" fillId="0" borderId="0" xfId="0" applyFont="1" applyBorder="1" applyAlignment="1" quotePrefix="1">
      <alignment vertical="top" wrapText="1"/>
    </xf>
    <xf numFmtId="167" fontId="5" fillId="0" borderId="0" xfId="0" applyNumberFormat="1" applyFont="1" applyBorder="1" applyAlignment="1">
      <alignment horizontal="right" vertical="top" wrapText="1"/>
    </xf>
    <xf numFmtId="167" fontId="5" fillId="0" borderId="0" xfId="0" applyNumberFormat="1" applyFont="1" applyAlignment="1">
      <alignment horizontal="right" vertical="top" wrapText="1"/>
    </xf>
    <xf numFmtId="167" fontId="5" fillId="0" borderId="2" xfId="0" applyNumberFormat="1" applyFont="1" applyBorder="1" applyAlignment="1">
      <alignment horizontal="right" vertical="top" wrapText="1"/>
    </xf>
    <xf numFmtId="167" fontId="5" fillId="0" borderId="0" xfId="0" applyNumberFormat="1" applyFont="1" applyBorder="1" applyAlignment="1">
      <alignment horizontal="right"/>
    </xf>
    <xf numFmtId="167" fontId="5" fillId="0" borderId="0" xfId="0" applyNumberFormat="1" applyFont="1" applyFill="1" applyBorder="1" applyAlignment="1">
      <alignment horizontal="right" vertical="top" wrapText="1"/>
    </xf>
    <xf numFmtId="167" fontId="5" fillId="0" borderId="2" xfId="0" applyNumberFormat="1" applyFont="1" applyBorder="1" applyAlignment="1">
      <alignment horizontal="right"/>
    </xf>
    <xf numFmtId="167" fontId="4" fillId="0" borderId="3" xfId="0" applyNumberFormat="1" applyFont="1" applyBorder="1" applyAlignment="1">
      <alignment horizontal="right" vertical="top" wrapText="1"/>
    </xf>
    <xf numFmtId="167" fontId="4" fillId="0" borderId="0" xfId="0" applyNumberFormat="1" applyFont="1" applyBorder="1" applyAlignment="1">
      <alignment horizontal="right" vertical="top" wrapText="1"/>
    </xf>
    <xf numFmtId="37" fontId="5" fillId="0" borderId="0" xfId="0" applyNumberFormat="1" applyFont="1" applyBorder="1" applyAlignment="1">
      <alignment vertical="top" wrapText="1"/>
    </xf>
    <xf numFmtId="10" fontId="4" fillId="0" borderId="0" xfId="0" applyNumberFormat="1" applyFont="1" applyBorder="1" applyAlignment="1">
      <alignment vertical="top" wrapText="1"/>
    </xf>
    <xf numFmtId="168" fontId="0" fillId="0" borderId="0" xfId="0" applyNumberFormat="1" applyAlignment="1">
      <alignment/>
    </xf>
    <xf numFmtId="171" fontId="5" fillId="0" borderId="0" xfId="0" applyNumberFormat="1" applyFont="1" applyFill="1" applyAlignment="1">
      <alignment/>
    </xf>
    <xf numFmtId="6" fontId="5" fillId="0" borderId="0" xfId="0" applyNumberFormat="1" applyFont="1" applyFill="1" applyBorder="1" applyAlignment="1">
      <alignment/>
    </xf>
    <xf numFmtId="170" fontId="5" fillId="0" borderId="0" xfId="0" applyNumberFormat="1" applyFont="1" applyFill="1" applyBorder="1" applyAlignment="1">
      <alignment/>
    </xf>
    <xf numFmtId="38" fontId="5" fillId="0" borderId="0" xfId="0" applyNumberFormat="1" applyFont="1" applyFill="1" applyBorder="1" applyAlignment="1">
      <alignment/>
    </xf>
    <xf numFmtId="0" fontId="4" fillId="0" borderId="4" xfId="0" applyFont="1" applyBorder="1" applyAlignment="1">
      <alignment horizontal="center" vertical="center" wrapText="1"/>
    </xf>
    <xf numFmtId="49" fontId="5" fillId="0" borderId="0" xfId="0" applyNumberFormat="1" applyFont="1" applyAlignment="1">
      <alignment horizontal="right" vertical="top" wrapText="1"/>
    </xf>
    <xf numFmtId="49" fontId="5" fillId="0" borderId="0" xfId="0" applyNumberFormat="1" applyFont="1" applyAlignment="1">
      <alignment horizontal="center" vertical="top" wrapText="1"/>
    </xf>
    <xf numFmtId="167" fontId="5" fillId="0" borderId="3" xfId="0" applyNumberFormat="1" applyFont="1" applyBorder="1" applyAlignment="1">
      <alignment horizontal="right" vertical="top" wrapText="1"/>
    </xf>
    <xf numFmtId="6" fontId="5" fillId="0" borderId="0" xfId="0" applyNumberFormat="1" applyFont="1" applyFill="1" applyAlignment="1">
      <alignment/>
    </xf>
    <xf numFmtId="170" fontId="5" fillId="0" borderId="0" xfId="0" applyNumberFormat="1" applyFont="1" applyFill="1" applyAlignment="1">
      <alignment/>
    </xf>
    <xf numFmtId="38" fontId="5" fillId="0" borderId="0" xfId="0" applyNumberFormat="1" applyFont="1" applyFill="1" applyAlignment="1">
      <alignment/>
    </xf>
    <xf numFmtId="0" fontId="5" fillId="0" borderId="0" xfId="0" applyFont="1" applyFill="1" applyAlignment="1">
      <alignment/>
    </xf>
    <xf numFmtId="171" fontId="5" fillId="0" borderId="0" xfId="0" applyNumberFormat="1" applyFont="1" applyFill="1" applyBorder="1" applyAlignment="1">
      <alignment/>
    </xf>
    <xf numFmtId="38" fontId="5" fillId="0" borderId="12" xfId="0" applyNumberFormat="1" applyFont="1" applyFill="1" applyBorder="1" applyAlignment="1">
      <alignment/>
    </xf>
    <xf numFmtId="0" fontId="0" fillId="0" borderId="0" xfId="0" applyFill="1" applyAlignment="1">
      <alignment/>
    </xf>
    <xf numFmtId="6" fontId="5" fillId="0" borderId="0" xfId="0" applyNumberFormat="1" applyFont="1" applyFill="1" applyBorder="1" applyAlignment="1">
      <alignment/>
    </xf>
    <xf numFmtId="0" fontId="5" fillId="0" borderId="0" xfId="0" applyFont="1" applyFill="1" applyBorder="1" applyAlignment="1">
      <alignment/>
    </xf>
    <xf numFmtId="0" fontId="0" fillId="0" borderId="0" xfId="0" applyFill="1" applyBorder="1" applyAlignment="1">
      <alignment/>
    </xf>
    <xf numFmtId="170" fontId="5" fillId="0" borderId="0" xfId="0" applyNumberFormat="1" applyFont="1" applyAlignment="1">
      <alignment/>
    </xf>
    <xf numFmtId="6" fontId="5" fillId="0" borderId="3" xfId="0" applyNumberFormat="1" applyFont="1" applyFill="1" applyBorder="1" applyAlignment="1">
      <alignment/>
    </xf>
    <xf numFmtId="0" fontId="4" fillId="0" borderId="0" xfId="0" applyFont="1" applyFill="1" applyAlignment="1" quotePrefix="1">
      <alignment/>
    </xf>
    <xf numFmtId="170" fontId="4" fillId="0" borderId="0" xfId="0" applyNumberFormat="1" applyFont="1" applyBorder="1" applyAlignment="1">
      <alignment/>
    </xf>
    <xf numFmtId="0" fontId="4" fillId="0" borderId="0" xfId="0" applyFont="1" applyAlignment="1">
      <alignment horizontal="right"/>
    </xf>
    <xf numFmtId="0" fontId="4" fillId="0" borderId="0" xfId="0" applyFont="1" applyFill="1" applyAlignment="1">
      <alignment/>
    </xf>
    <xf numFmtId="167" fontId="5" fillId="0" borderId="0" xfId="0" applyNumberFormat="1" applyFont="1" applyFill="1" applyAlignment="1">
      <alignment/>
    </xf>
    <xf numFmtId="169" fontId="5" fillId="0" borderId="0" xfId="0" applyNumberFormat="1" applyFont="1" applyFill="1" applyAlignment="1">
      <alignment/>
    </xf>
    <xf numFmtId="10" fontId="5" fillId="0" borderId="0" xfId="0" applyNumberFormat="1" applyFont="1" applyFill="1" applyAlignment="1">
      <alignment/>
    </xf>
    <xf numFmtId="0" fontId="4" fillId="0" borderId="0" xfId="0" applyFont="1" applyFill="1" applyBorder="1" applyAlignment="1">
      <alignment horizontal="center" vertical="top"/>
    </xf>
    <xf numFmtId="0" fontId="5" fillId="0" borderId="0" xfId="0" applyFont="1" applyFill="1" applyAlignment="1">
      <alignment/>
    </xf>
    <xf numFmtId="164" fontId="4" fillId="0" borderId="0" xfId="0" applyNumberFormat="1" applyFont="1" applyFill="1" applyBorder="1" applyAlignment="1">
      <alignment horizontal="center" vertical="top"/>
    </xf>
    <xf numFmtId="6" fontId="4" fillId="0" borderId="0" xfId="0" applyNumberFormat="1" applyFont="1" applyFill="1" applyBorder="1" applyAlignment="1">
      <alignment horizontal="center" vertical="top"/>
    </xf>
    <xf numFmtId="6" fontId="8" fillId="0" borderId="0" xfId="0" applyNumberFormat="1" applyFont="1" applyFill="1" applyAlignment="1">
      <alignment/>
    </xf>
    <xf numFmtId="6" fontId="5" fillId="0" borderId="0" xfId="0" applyNumberFormat="1" applyFont="1" applyFill="1" applyAlignment="1">
      <alignment/>
    </xf>
    <xf numFmtId="0" fontId="4" fillId="0" borderId="0" xfId="0" applyFont="1" applyFill="1" applyAlignment="1">
      <alignment horizontal="center"/>
    </xf>
    <xf numFmtId="6" fontId="4" fillId="0" borderId="0" xfId="0" applyNumberFormat="1" applyFont="1" applyFill="1" applyAlignment="1" quotePrefix="1">
      <alignment/>
    </xf>
    <xf numFmtId="6" fontId="4" fillId="0" borderId="0" xfId="0" applyNumberFormat="1" applyFont="1" applyFill="1" applyAlignment="1">
      <alignment/>
    </xf>
    <xf numFmtId="6" fontId="5" fillId="0" borderId="2" xfId="0" applyNumberFormat="1" applyFont="1" applyFill="1" applyBorder="1" applyAlignment="1">
      <alignment/>
    </xf>
    <xf numFmtId="6" fontId="4" fillId="0" borderId="3" xfId="0" applyNumberFormat="1" applyFont="1" applyFill="1" applyBorder="1" applyAlignment="1">
      <alignment/>
    </xf>
    <xf numFmtId="0" fontId="5" fillId="0" borderId="2" xfId="0" applyFont="1" applyFill="1" applyBorder="1" applyAlignment="1">
      <alignment/>
    </xf>
    <xf numFmtId="6" fontId="5" fillId="0" borderId="2" xfId="0" applyNumberFormat="1" applyFont="1" applyFill="1" applyBorder="1" applyAlignment="1">
      <alignment/>
    </xf>
    <xf numFmtId="6" fontId="4" fillId="0" borderId="13" xfId="0" applyNumberFormat="1" applyFont="1" applyFill="1" applyBorder="1" applyAlignment="1">
      <alignment/>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167" fontId="5" fillId="0" borderId="0" xfId="0" applyNumberFormat="1" applyFont="1" applyFill="1" applyBorder="1" applyAlignment="1">
      <alignment vertical="top" wrapText="1"/>
    </xf>
    <xf numFmtId="0" fontId="5" fillId="0" borderId="2" xfId="0" applyFont="1" applyFill="1" applyBorder="1" applyAlignment="1">
      <alignment horizontal="center" vertical="top" wrapText="1"/>
    </xf>
    <xf numFmtId="166" fontId="5" fillId="0" borderId="0" xfId="0" applyNumberFormat="1" applyFont="1" applyFill="1" applyBorder="1" applyAlignment="1">
      <alignment vertical="top" wrapText="1"/>
    </xf>
    <xf numFmtId="164" fontId="5" fillId="0" borderId="0" xfId="0" applyNumberFormat="1" applyFont="1" applyFill="1" applyAlignment="1">
      <alignment vertical="top" wrapText="1"/>
    </xf>
    <xf numFmtId="6" fontId="5" fillId="0" borderId="3" xfId="0" applyNumberFormat="1" applyFont="1" applyBorder="1" applyAlignment="1">
      <alignment/>
    </xf>
    <xf numFmtId="6" fontId="4" fillId="0" borderId="0" xfId="0" applyNumberFormat="1" applyFont="1" applyFill="1" applyBorder="1" applyAlignment="1">
      <alignment vertical="top" wrapText="1"/>
    </xf>
    <xf numFmtId="164" fontId="5" fillId="0" borderId="0"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vertical="top" wrapText="1"/>
    </xf>
    <xf numFmtId="172" fontId="5" fillId="0" borderId="0" xfId="0" applyNumberFormat="1" applyFont="1" applyFill="1" applyBorder="1" applyAlignment="1">
      <alignment vertical="top" wrapText="1"/>
    </xf>
    <xf numFmtId="172" fontId="5" fillId="0" borderId="0" xfId="0" applyNumberFormat="1" applyFont="1" applyBorder="1" applyAlignment="1">
      <alignment vertical="top" wrapText="1"/>
    </xf>
    <xf numFmtId="172" fontId="5" fillId="0" borderId="0" xfId="0" applyNumberFormat="1" applyFont="1" applyAlignment="1">
      <alignment vertical="top" wrapText="1"/>
    </xf>
    <xf numFmtId="172" fontId="5" fillId="0" borderId="2" xfId="0" applyNumberFormat="1" applyFont="1" applyBorder="1" applyAlignment="1">
      <alignment vertical="top" wrapText="1"/>
    </xf>
    <xf numFmtId="173" fontId="5" fillId="0" borderId="0" xfId="0" applyNumberFormat="1" applyFont="1" applyFill="1" applyBorder="1" applyAlignment="1">
      <alignment vertical="top" wrapText="1"/>
    </xf>
    <xf numFmtId="173" fontId="5" fillId="0" borderId="2" xfId="0" applyNumberFormat="1" applyFont="1" applyFill="1" applyBorder="1" applyAlignment="1">
      <alignment vertical="top" wrapText="1"/>
    </xf>
    <xf numFmtId="8" fontId="0" fillId="0" borderId="0" xfId="0" applyNumberFormat="1" applyAlignment="1">
      <alignment/>
    </xf>
    <xf numFmtId="164" fontId="0" fillId="0" borderId="0" xfId="0" applyNumberFormat="1" applyAlignment="1">
      <alignment/>
    </xf>
    <xf numFmtId="10" fontId="4" fillId="0" borderId="3" xfId="0" applyNumberFormat="1" applyFont="1" applyBorder="1" applyAlignment="1">
      <alignment/>
    </xf>
    <xf numFmtId="172" fontId="4" fillId="0" borderId="14" xfId="0" applyNumberFormat="1" applyFont="1" applyBorder="1" applyAlignment="1">
      <alignment vertical="top" wrapText="1"/>
    </xf>
    <xf numFmtId="6" fontId="5" fillId="0" borderId="2" xfId="0" applyNumberFormat="1" applyFont="1" applyFill="1" applyBorder="1" applyAlignment="1">
      <alignment vertical="top" wrapText="1"/>
    </xf>
    <xf numFmtId="0" fontId="4" fillId="0" borderId="2" xfId="0" applyFont="1" applyBorder="1" applyAlignment="1">
      <alignment horizontal="center" vertical="top" wrapText="1"/>
    </xf>
    <xf numFmtId="0" fontId="11" fillId="0" borderId="0" xfId="0" applyFont="1" applyAlignment="1">
      <alignment/>
    </xf>
    <xf numFmtId="178" fontId="5" fillId="0" borderId="0" xfId="15" applyNumberFormat="1" applyFont="1" applyBorder="1" applyAlignment="1">
      <alignment vertical="top" wrapText="1"/>
    </xf>
    <xf numFmtId="182" fontId="5" fillId="0" borderId="2" xfId="15" applyNumberFormat="1" applyFont="1" applyBorder="1" applyAlignment="1">
      <alignment vertical="top"/>
    </xf>
    <xf numFmtId="185" fontId="5" fillId="0" borderId="3" xfId="18" applyNumberFormat="1" applyFont="1" applyBorder="1" applyAlignment="1">
      <alignment/>
    </xf>
    <xf numFmtId="178" fontId="0" fillId="0" borderId="0" xfId="15" applyNumberFormat="1" applyAlignment="1">
      <alignment/>
    </xf>
    <xf numFmtId="185" fontId="5" fillId="0" borderId="0" xfId="18" applyNumberFormat="1" applyFont="1" applyBorder="1" applyAlignment="1">
      <alignment vertical="top" wrapText="1"/>
    </xf>
    <xf numFmtId="164" fontId="5" fillId="0" borderId="12" xfId="33" applyNumberFormat="1" applyFont="1" applyBorder="1" applyAlignment="1">
      <alignment vertical="top" wrapText="1"/>
    </xf>
    <xf numFmtId="185" fontId="5" fillId="0" borderId="3" xfId="18" applyNumberFormat="1" applyFont="1" applyBorder="1" applyAlignment="1">
      <alignment vertical="top" wrapText="1"/>
    </xf>
    <xf numFmtId="178" fontId="5" fillId="0" borderId="2" xfId="15" applyNumberFormat="1" applyFont="1" applyBorder="1" applyAlignment="1">
      <alignment vertical="top"/>
    </xf>
    <xf numFmtId="185" fontId="5" fillId="0" borderId="0" xfId="18" applyNumberFormat="1" applyFont="1" applyAlignment="1">
      <alignment/>
    </xf>
    <xf numFmtId="185" fontId="5" fillId="0" borderId="0" xfId="0" applyNumberFormat="1" applyFont="1" applyAlignment="1">
      <alignment/>
    </xf>
    <xf numFmtId="182" fontId="5" fillId="0" borderId="2" xfId="0" applyNumberFormat="1" applyFont="1" applyBorder="1" applyAlignment="1">
      <alignment/>
    </xf>
    <xf numFmtId="43" fontId="5" fillId="0" borderId="0" xfId="15" applyFont="1" applyBorder="1" applyAlignment="1">
      <alignment vertical="top"/>
    </xf>
    <xf numFmtId="185" fontId="5" fillId="0" borderId="13" xfId="18" applyNumberFormat="1" applyFont="1" applyBorder="1" applyAlignment="1">
      <alignment vertical="top" wrapText="1"/>
    </xf>
    <xf numFmtId="185" fontId="5" fillId="0" borderId="14" xfId="18" applyNumberFormat="1" applyFont="1" applyBorder="1" applyAlignment="1">
      <alignment vertical="top" wrapText="1"/>
    </xf>
    <xf numFmtId="6" fontId="4" fillId="0" borderId="3" xfId="0" applyNumberFormat="1" applyFont="1" applyFill="1" applyBorder="1" applyAlignment="1">
      <alignment vertical="center" wrapText="1"/>
    </xf>
    <xf numFmtId="6" fontId="5" fillId="0" borderId="3" xfId="0" applyNumberFormat="1" applyFont="1" applyFill="1" applyBorder="1" applyAlignment="1">
      <alignment vertical="top" wrapText="1"/>
    </xf>
    <xf numFmtId="164" fontId="4" fillId="0" borderId="6" xfId="0" applyNumberFormat="1" applyFont="1" applyFill="1" applyBorder="1" applyAlignment="1">
      <alignment horizontal="center"/>
    </xf>
    <xf numFmtId="6" fontId="5" fillId="0" borderId="0" xfId="0" applyNumberFormat="1" applyFont="1" applyFill="1" applyBorder="1" applyAlignment="1">
      <alignment horizontal="centerContinuous" vertical="center"/>
    </xf>
    <xf numFmtId="0" fontId="4" fillId="0" borderId="4" xfId="0" applyFont="1" applyFill="1" applyBorder="1" applyAlignment="1">
      <alignment horizontal="center"/>
    </xf>
    <xf numFmtId="6" fontId="5" fillId="0" borderId="0" xfId="0" applyNumberFormat="1" applyFont="1" applyFill="1" applyAlignment="1">
      <alignment vertical="top"/>
    </xf>
    <xf numFmtId="185" fontId="5" fillId="0" borderId="0" xfId="18" applyNumberFormat="1" applyFont="1" applyFill="1" applyBorder="1" applyAlignment="1">
      <alignment vertical="top" wrapText="1"/>
    </xf>
    <xf numFmtId="178" fontId="5" fillId="0" borderId="0" xfId="15" applyNumberFormat="1" applyFont="1" applyFill="1" applyBorder="1" applyAlignment="1">
      <alignment vertical="top" wrapText="1"/>
    </xf>
    <xf numFmtId="185" fontId="5" fillId="0" borderId="14" xfId="18" applyNumberFormat="1" applyFont="1" applyFill="1" applyBorder="1" applyAlignment="1">
      <alignment vertical="top" wrapText="1"/>
    </xf>
    <xf numFmtId="185" fontId="5" fillId="0" borderId="13" xfId="18" applyNumberFormat="1" applyFont="1" applyFill="1" applyBorder="1" applyAlignment="1">
      <alignment vertical="top" wrapText="1"/>
    </xf>
    <xf numFmtId="0" fontId="9" fillId="0" borderId="0" xfId="31" applyFont="1" applyAlignment="1">
      <alignment horizontal="left"/>
      <protection/>
    </xf>
    <xf numFmtId="0" fontId="0" fillId="0" borderId="0" xfId="31">
      <alignment/>
      <protection/>
    </xf>
    <xf numFmtId="0" fontId="14" fillId="0" borderId="0" xfId="28" applyFont="1" applyAlignment="1">
      <alignment horizontal="centerContinuous"/>
    </xf>
    <xf numFmtId="0" fontId="0" fillId="0" borderId="0" xfId="28" applyFont="1" applyAlignment="1">
      <alignment horizontal="centerContinuous"/>
    </xf>
    <xf numFmtId="0" fontId="5" fillId="0" borderId="0" xfId="28" applyFont="1" applyAlignment="1">
      <alignment horizontal="centerContinuous"/>
    </xf>
    <xf numFmtId="0" fontId="4" fillId="0" borderId="0" xfId="28" applyFont="1" applyAlignment="1">
      <alignment horizontal="centerContinuous"/>
    </xf>
    <xf numFmtId="0" fontId="5" fillId="0" borderId="0" xfId="28" applyFont="1" applyFill="1" applyAlignment="1">
      <alignment horizontal="centerContinuous"/>
    </xf>
    <xf numFmtId="0" fontId="5" fillId="0" borderId="0" xfId="28" applyFont="1" applyAlignment="1">
      <alignment horizontal="center"/>
    </xf>
    <xf numFmtId="0" fontId="4" fillId="0" borderId="0" xfId="28" applyFont="1" applyFill="1" applyAlignment="1">
      <alignment/>
    </xf>
    <xf numFmtId="0" fontId="5" fillId="0" borderId="0" xfId="28" applyFont="1" applyAlignment="1">
      <alignment/>
    </xf>
    <xf numFmtId="0" fontId="4" fillId="0" borderId="6" xfId="28" applyFont="1" applyBorder="1" applyAlignment="1">
      <alignment horizontal="center"/>
    </xf>
    <xf numFmtId="0" fontId="4" fillId="0" borderId="6" xfId="28" applyFont="1" applyFill="1" applyBorder="1" applyAlignment="1">
      <alignment horizontal="center"/>
    </xf>
    <xf numFmtId="0" fontId="4" fillId="0" borderId="11" xfId="28" applyFont="1" applyBorder="1" applyAlignment="1">
      <alignment horizontal="center"/>
    </xf>
    <xf numFmtId="0" fontId="4" fillId="0" borderId="11" xfId="28" applyFont="1" applyFill="1" applyBorder="1" applyAlignment="1">
      <alignment horizontal="center"/>
    </xf>
    <xf numFmtId="0" fontId="4" fillId="0" borderId="4" xfId="28" applyFont="1" applyBorder="1" applyAlignment="1">
      <alignment horizontal="center"/>
    </xf>
    <xf numFmtId="0" fontId="4" fillId="0" borderId="4" xfId="28" applyFont="1" applyFill="1" applyBorder="1" applyAlignment="1">
      <alignment horizontal="center"/>
    </xf>
    <xf numFmtId="0" fontId="4" fillId="0" borderId="15" xfId="28" applyFont="1" applyBorder="1" applyAlignment="1">
      <alignment horizontal="center"/>
    </xf>
    <xf numFmtId="0" fontId="15" fillId="0" borderId="16" xfId="28" applyFont="1" applyFill="1" applyBorder="1" applyAlignment="1">
      <alignment/>
    </xf>
    <xf numFmtId="187" fontId="5" fillId="0" borderId="17" xfId="28" applyNumberFormat="1" applyFont="1" applyBorder="1" applyAlignment="1">
      <alignment/>
    </xf>
    <xf numFmtId="187" fontId="5" fillId="0" borderId="18" xfId="28" applyNumberFormat="1" applyFont="1" applyBorder="1" applyAlignment="1">
      <alignment/>
    </xf>
    <xf numFmtId="0" fontId="4" fillId="0" borderId="19" xfId="28" applyFont="1" applyFill="1" applyBorder="1" applyAlignment="1">
      <alignment horizontal="center"/>
    </xf>
    <xf numFmtId="0" fontId="15" fillId="0" borderId="20" xfId="28" applyFont="1" applyFill="1" applyBorder="1" applyAlignment="1">
      <alignment/>
    </xf>
    <xf numFmtId="187" fontId="5" fillId="0" borderId="21" xfId="28" applyNumberFormat="1" applyFont="1" applyBorder="1" applyAlignment="1">
      <alignment/>
    </xf>
    <xf numFmtId="0" fontId="4" fillId="2" borderId="19" xfId="28" applyFont="1" applyFill="1" applyBorder="1" applyAlignment="1">
      <alignment horizontal="center"/>
    </xf>
    <xf numFmtId="0" fontId="4" fillId="0" borderId="20" xfId="28" applyFont="1" applyFill="1" applyBorder="1" applyAlignment="1">
      <alignment horizontal="center"/>
    </xf>
    <xf numFmtId="0" fontId="5" fillId="3" borderId="22" xfId="28" applyFont="1" applyFill="1" applyBorder="1" applyAlignment="1">
      <alignment/>
    </xf>
    <xf numFmtId="0" fontId="5" fillId="3" borderId="14" xfId="28" applyFont="1" applyFill="1" applyBorder="1" applyAlignment="1">
      <alignment/>
    </xf>
    <xf numFmtId="0" fontId="4" fillId="0" borderId="19" xfId="28" applyFont="1" applyBorder="1" applyAlignment="1">
      <alignment horizontal="center"/>
    </xf>
    <xf numFmtId="0" fontId="16" fillId="0" borderId="20" xfId="28" applyFont="1" applyFill="1" applyBorder="1" applyAlignment="1">
      <alignment/>
    </xf>
    <xf numFmtId="187" fontId="5" fillId="0" borderId="21" xfId="28" applyNumberFormat="1" applyFont="1" applyFill="1" applyBorder="1" applyAlignment="1">
      <alignment/>
    </xf>
    <xf numFmtId="2" fontId="5" fillId="0" borderId="21" xfId="28" applyNumberFormat="1" applyFont="1" applyFill="1" applyBorder="1" applyAlignment="1">
      <alignment/>
    </xf>
    <xf numFmtId="2" fontId="5" fillId="0" borderId="22" xfId="28" applyNumberFormat="1" applyFont="1" applyFill="1" applyBorder="1" applyAlignment="1">
      <alignment/>
    </xf>
    <xf numFmtId="2" fontId="0" fillId="0" borderId="21" xfId="28" applyNumberFormat="1" applyFont="1" applyBorder="1" applyAlignment="1">
      <alignment/>
    </xf>
    <xf numFmtId="0" fontId="0" fillId="0" borderId="0" xfId="31" applyAlignment="1">
      <alignment horizontal="center"/>
      <protection/>
    </xf>
    <xf numFmtId="2" fontId="0" fillId="0" borderId="21" xfId="28" applyNumberFormat="1" applyFont="1" applyFill="1" applyBorder="1" applyAlignment="1">
      <alignment/>
    </xf>
    <xf numFmtId="0" fontId="16" fillId="0" borderId="23" xfId="28" applyFont="1" applyFill="1" applyBorder="1" applyAlignment="1">
      <alignment/>
    </xf>
    <xf numFmtId="2" fontId="5" fillId="0" borderId="24" xfId="28" applyNumberFormat="1" applyFont="1" applyFill="1" applyBorder="1" applyAlignment="1">
      <alignment/>
    </xf>
    <xf numFmtId="2" fontId="0" fillId="0" borderId="24" xfId="28" applyNumberFormat="1" applyFont="1" applyFill="1" applyBorder="1" applyAlignment="1">
      <alignment/>
    </xf>
    <xf numFmtId="0" fontId="4" fillId="0" borderId="25" xfId="28" applyFont="1" applyBorder="1" applyAlignment="1">
      <alignment horizontal="center"/>
    </xf>
    <xf numFmtId="0" fontId="16" fillId="0" borderId="26" xfId="28" applyFont="1" applyFill="1" applyBorder="1" applyAlignment="1">
      <alignment horizontal="center"/>
    </xf>
    <xf numFmtId="0" fontId="4" fillId="2" borderId="27" xfId="28" applyFont="1" applyFill="1" applyBorder="1" applyAlignment="1">
      <alignment horizontal="center"/>
    </xf>
    <xf numFmtId="0" fontId="16" fillId="0" borderId="24" xfId="28" applyFont="1" applyFill="1" applyBorder="1" applyAlignment="1">
      <alignment horizontal="center"/>
    </xf>
    <xf numFmtId="0" fontId="5" fillId="3" borderId="28" xfId="28" applyFont="1" applyFill="1" applyBorder="1" applyAlignment="1">
      <alignment/>
    </xf>
    <xf numFmtId="0" fontId="4" fillId="2" borderId="11" xfId="28" applyFont="1" applyFill="1" applyBorder="1" applyAlignment="1">
      <alignment horizontal="center"/>
    </xf>
    <xf numFmtId="0" fontId="4" fillId="0" borderId="29" xfId="28" applyFont="1" applyFill="1" applyBorder="1" applyAlignment="1">
      <alignment horizontal="center"/>
    </xf>
    <xf numFmtId="0" fontId="5" fillId="3" borderId="30" xfId="28" applyFont="1" applyFill="1" applyBorder="1" applyAlignment="1">
      <alignment/>
    </xf>
    <xf numFmtId="0" fontId="0" fillId="3" borderId="12" xfId="28" applyFont="1" applyFill="1" applyBorder="1" applyAlignment="1">
      <alignment/>
    </xf>
    <xf numFmtId="0" fontId="5" fillId="3" borderId="12" xfId="28" applyFont="1" applyFill="1" applyBorder="1" applyAlignment="1">
      <alignment/>
    </xf>
    <xf numFmtId="0" fontId="5" fillId="0" borderId="21" xfId="28" applyFont="1" applyFill="1" applyBorder="1" applyAlignment="1">
      <alignment/>
    </xf>
    <xf numFmtId="0" fontId="0" fillId="0" borderId="21" xfId="28" applyFont="1" applyBorder="1" applyAlignment="1">
      <alignment/>
    </xf>
    <xf numFmtId="0" fontId="5" fillId="0" borderId="22" xfId="28" applyFont="1" applyFill="1" applyBorder="1" applyAlignment="1">
      <alignment/>
    </xf>
    <xf numFmtId="0" fontId="5" fillId="0" borderId="24" xfId="28" applyFont="1" applyFill="1" applyBorder="1" applyAlignment="1">
      <alignment/>
    </xf>
    <xf numFmtId="0" fontId="0" fillId="0" borderId="24" xfId="28" applyFont="1" applyBorder="1" applyAlignment="1">
      <alignment/>
    </xf>
    <xf numFmtId="0" fontId="5" fillId="0" borderId="30" xfId="28" applyFont="1" applyFill="1" applyBorder="1" applyAlignment="1">
      <alignment/>
    </xf>
    <xf numFmtId="187" fontId="5" fillId="0" borderId="18" xfId="28" applyNumberFormat="1" applyFont="1" applyFill="1" applyBorder="1" applyAlignment="1">
      <alignment/>
    </xf>
    <xf numFmtId="0" fontId="5" fillId="4" borderId="14" xfId="28" applyFont="1" applyFill="1" applyBorder="1" applyAlignment="1">
      <alignment/>
    </xf>
    <xf numFmtId="0" fontId="0" fillId="3" borderId="14" xfId="28" applyFont="1" applyFill="1" applyBorder="1" applyAlignment="1">
      <alignment/>
    </xf>
    <xf numFmtId="0" fontId="4" fillId="0" borderId="31" xfId="28" applyFont="1" applyFill="1" applyBorder="1" applyAlignment="1">
      <alignment horizontal="center"/>
    </xf>
    <xf numFmtId="0" fontId="5" fillId="0" borderId="32" xfId="28" applyFont="1" applyFill="1" applyBorder="1" applyAlignment="1">
      <alignment/>
    </xf>
    <xf numFmtId="0" fontId="0" fillId="0" borderId="32" xfId="28" applyFont="1" applyBorder="1" applyAlignment="1">
      <alignment/>
    </xf>
    <xf numFmtId="0" fontId="5" fillId="0" borderId="33" xfId="28" applyFont="1" applyFill="1" applyBorder="1" applyAlignment="1">
      <alignment/>
    </xf>
    <xf numFmtId="0" fontId="4" fillId="0" borderId="34" xfId="28" applyFont="1" applyBorder="1" applyAlignment="1">
      <alignment horizontal="center"/>
    </xf>
    <xf numFmtId="0" fontId="16" fillId="0" borderId="35" xfId="28" applyFont="1" applyFill="1" applyBorder="1" applyAlignment="1">
      <alignment/>
    </xf>
    <xf numFmtId="187" fontId="5" fillId="0" borderId="36" xfId="28" applyNumberFormat="1" applyFont="1" applyFill="1" applyBorder="1" applyAlignment="1">
      <alignment/>
    </xf>
    <xf numFmtId="0" fontId="0" fillId="0" borderId="37" xfId="28" applyFont="1" applyBorder="1" applyAlignment="1">
      <alignment/>
    </xf>
    <xf numFmtId="0" fontId="5" fillId="0" borderId="37" xfId="28" applyFont="1" applyFill="1" applyBorder="1" applyAlignment="1">
      <alignment/>
    </xf>
    <xf numFmtId="0" fontId="0" fillId="0" borderId="37" xfId="31" applyBorder="1">
      <alignment/>
      <protection/>
    </xf>
    <xf numFmtId="0" fontId="5" fillId="0" borderId="37" xfId="28" applyFont="1" applyBorder="1" applyAlignment="1">
      <alignment/>
    </xf>
    <xf numFmtId="0" fontId="14" fillId="0" borderId="0" xfId="28" applyFont="1" applyAlignment="1" quotePrefix="1">
      <alignment horizontal="centerContinuous"/>
    </xf>
    <xf numFmtId="0" fontId="0" fillId="0" borderId="0" xfId="28" applyFont="1" applyFill="1" applyAlignment="1">
      <alignment horizontal="centerContinuous"/>
    </xf>
    <xf numFmtId="0" fontId="18" fillId="0" borderId="0" xfId="27" applyFont="1" applyAlignment="1">
      <alignment horizontal="centerContinuous"/>
    </xf>
    <xf numFmtId="0" fontId="0" fillId="0" borderId="0" xfId="27" applyFont="1" applyAlignment="1">
      <alignment horizontal="centerContinuous"/>
    </xf>
    <xf numFmtId="0" fontId="5" fillId="0" borderId="0" xfId="27" applyFont="1" applyAlignment="1">
      <alignment horizontal="centerContinuous"/>
    </xf>
    <xf numFmtId="0" fontId="4" fillId="0" borderId="0" xfId="27" applyFont="1" applyAlignment="1">
      <alignment horizontal="centerContinuous"/>
    </xf>
    <xf numFmtId="0" fontId="5" fillId="0" borderId="0" xfId="27" applyFont="1" applyFill="1" applyAlignment="1">
      <alignment horizontal="centerContinuous"/>
    </xf>
    <xf numFmtId="0" fontId="4" fillId="0" borderId="6" xfId="27" applyFont="1" applyBorder="1" applyAlignment="1">
      <alignment horizontal="center"/>
    </xf>
    <xf numFmtId="0" fontId="4" fillId="0" borderId="6" xfId="27" applyFont="1" applyFill="1" applyBorder="1" applyAlignment="1">
      <alignment horizontal="center"/>
    </xf>
    <xf numFmtId="0" fontId="4" fillId="0" borderId="11" xfId="27" applyFont="1" applyBorder="1" applyAlignment="1">
      <alignment horizontal="center"/>
    </xf>
    <xf numFmtId="0" fontId="4" fillId="0" borderId="11" xfId="27" applyFont="1" applyFill="1" applyBorder="1" applyAlignment="1">
      <alignment horizontal="center"/>
    </xf>
    <xf numFmtId="0" fontId="4" fillId="0" borderId="4" xfId="27" applyFont="1" applyBorder="1" applyAlignment="1">
      <alignment horizontal="center"/>
    </xf>
    <xf numFmtId="0" fontId="4" fillId="0" borderId="4" xfId="27" applyFont="1" applyFill="1" applyBorder="1" applyAlignment="1">
      <alignment horizontal="center"/>
    </xf>
    <xf numFmtId="0" fontId="4" fillId="2" borderId="15" xfId="27" applyFont="1" applyFill="1" applyBorder="1" applyAlignment="1">
      <alignment horizontal="center"/>
    </xf>
    <xf numFmtId="0" fontId="4" fillId="0" borderId="21" xfId="27" applyFont="1" applyFill="1" applyBorder="1" applyAlignment="1">
      <alignment horizontal="center"/>
    </xf>
    <xf numFmtId="0" fontId="5" fillId="3" borderId="22" xfId="27" applyFont="1" applyFill="1" applyBorder="1" applyAlignment="1">
      <alignment/>
    </xf>
    <xf numFmtId="0" fontId="5" fillId="3" borderId="14" xfId="27" applyFont="1" applyFill="1" applyBorder="1" applyAlignment="1">
      <alignment/>
    </xf>
    <xf numFmtId="0" fontId="4" fillId="0" borderId="19" xfId="27" applyFont="1" applyBorder="1" applyAlignment="1">
      <alignment horizontal="center"/>
    </xf>
    <xf numFmtId="0" fontId="16" fillId="0" borderId="21" xfId="27" applyFont="1" applyFill="1" applyBorder="1" applyAlignment="1">
      <alignment/>
    </xf>
    <xf numFmtId="0" fontId="5" fillId="0" borderId="21" xfId="27" applyFont="1" applyFill="1" applyBorder="1" applyAlignment="1">
      <alignment/>
    </xf>
    <xf numFmtId="0" fontId="4" fillId="0" borderId="19" xfId="27" applyFont="1" applyFill="1" applyBorder="1" applyAlignment="1">
      <alignment horizontal="center"/>
    </xf>
    <xf numFmtId="0" fontId="16" fillId="0" borderId="20" xfId="27" applyFont="1" applyFill="1" applyBorder="1" applyAlignment="1">
      <alignment/>
    </xf>
    <xf numFmtId="187" fontId="5" fillId="0" borderId="17" xfId="27" applyNumberFormat="1" applyFont="1" applyFill="1" applyBorder="1" applyAlignment="1">
      <alignment/>
    </xf>
    <xf numFmtId="187" fontId="5" fillId="0" borderId="18" xfId="27" applyNumberFormat="1" applyFont="1" applyFill="1" applyBorder="1" applyAlignment="1">
      <alignment/>
    </xf>
    <xf numFmtId="0" fontId="4" fillId="4" borderId="19" xfId="27" applyFont="1" applyFill="1" applyBorder="1" applyAlignment="1">
      <alignment horizontal="center"/>
    </xf>
    <xf numFmtId="0" fontId="19" fillId="0" borderId="38" xfId="27" applyFont="1" applyFill="1" applyBorder="1" applyAlignment="1">
      <alignment/>
    </xf>
    <xf numFmtId="187" fontId="5" fillId="0" borderId="21" xfId="27" applyNumberFormat="1" applyFont="1" applyBorder="1" applyAlignment="1">
      <alignment/>
    </xf>
    <xf numFmtId="187" fontId="5" fillId="0" borderId="22" xfId="27" applyNumberFormat="1" applyFont="1" applyBorder="1" applyAlignment="1">
      <alignment/>
    </xf>
    <xf numFmtId="0" fontId="4" fillId="4" borderId="11" xfId="27" applyFont="1" applyFill="1" applyBorder="1" applyAlignment="1">
      <alignment horizontal="center"/>
    </xf>
    <xf numFmtId="0" fontId="5" fillId="3" borderId="0" xfId="27" applyFont="1" applyFill="1" applyBorder="1" applyAlignment="1">
      <alignment/>
    </xf>
    <xf numFmtId="0" fontId="4" fillId="2" borderId="11" xfId="27" applyFont="1" applyFill="1" applyBorder="1" applyAlignment="1">
      <alignment horizontal="center"/>
    </xf>
    <xf numFmtId="0" fontId="4" fillId="0" borderId="20" xfId="27" applyFont="1" applyFill="1" applyBorder="1" applyAlignment="1">
      <alignment horizontal="center"/>
    </xf>
    <xf numFmtId="0" fontId="5" fillId="0" borderId="21" xfId="27" applyFont="1" applyBorder="1" applyAlignment="1">
      <alignment/>
    </xf>
    <xf numFmtId="0" fontId="4" fillId="2" borderId="19" xfId="27" applyFont="1" applyFill="1" applyBorder="1" applyAlignment="1">
      <alignment horizontal="center"/>
    </xf>
    <xf numFmtId="0" fontId="16" fillId="0" borderId="26" xfId="27" applyFont="1" applyFill="1" applyBorder="1" applyAlignment="1">
      <alignment/>
    </xf>
    <xf numFmtId="187" fontId="5" fillId="0" borderId="17" xfId="27" applyNumberFormat="1" applyFont="1" applyBorder="1" applyAlignment="1">
      <alignment/>
    </xf>
    <xf numFmtId="187" fontId="5" fillId="0" borderId="39" xfId="27" applyNumberFormat="1" applyFont="1" applyBorder="1" applyAlignment="1">
      <alignment/>
    </xf>
    <xf numFmtId="0" fontId="20" fillId="0" borderId="4" xfId="27" applyFont="1" applyFill="1" applyBorder="1" applyAlignment="1">
      <alignment horizontal="center"/>
    </xf>
    <xf numFmtId="0" fontId="4" fillId="0" borderId="24" xfId="27" applyFont="1" applyFill="1" applyBorder="1" applyAlignment="1">
      <alignment horizontal="center"/>
    </xf>
    <xf numFmtId="0" fontId="5" fillId="3" borderId="30" xfId="27" applyFont="1" applyFill="1" applyBorder="1" applyAlignment="1">
      <alignment/>
    </xf>
    <xf numFmtId="0" fontId="5" fillId="3" borderId="12" xfId="27" applyFont="1" applyFill="1" applyBorder="1" applyAlignment="1">
      <alignment/>
    </xf>
    <xf numFmtId="0" fontId="4" fillId="0" borderId="34" xfId="27" applyFont="1" applyBorder="1" applyAlignment="1">
      <alignment horizontal="center"/>
    </xf>
    <xf numFmtId="0" fontId="4" fillId="0" borderId="40" xfId="27" applyFont="1" applyFill="1" applyBorder="1" applyAlignment="1">
      <alignment/>
    </xf>
    <xf numFmtId="187" fontId="5" fillId="0" borderId="7" xfId="27" applyNumberFormat="1" applyFont="1" applyBorder="1" applyAlignment="1">
      <alignment/>
    </xf>
    <xf numFmtId="0" fontId="0" fillId="0" borderId="37" xfId="27" applyFont="1" applyBorder="1" applyAlignment="1">
      <alignment/>
    </xf>
    <xf numFmtId="0" fontId="5" fillId="0" borderId="37" xfId="27" applyFont="1" applyFill="1" applyBorder="1" applyAlignment="1">
      <alignment/>
    </xf>
    <xf numFmtId="0" fontId="5" fillId="0" borderId="37" xfId="27" applyFont="1" applyBorder="1" applyAlignment="1">
      <alignment/>
    </xf>
    <xf numFmtId="0" fontId="4" fillId="0" borderId="37" xfId="27" applyFont="1" applyBorder="1" applyAlignment="1">
      <alignment horizontal="center"/>
    </xf>
    <xf numFmtId="0" fontId="14" fillId="0" borderId="0" xfId="27" applyFont="1" applyAlignment="1" quotePrefix="1">
      <alignment horizontal="centerContinuous"/>
    </xf>
    <xf numFmtId="0" fontId="0" fillId="0" borderId="0" xfId="27" applyFont="1" applyFill="1" applyAlignment="1">
      <alignment horizontal="centerContinuous"/>
    </xf>
    <xf numFmtId="0" fontId="5" fillId="0" borderId="0" xfId="27" applyFont="1" applyAlignment="1">
      <alignment horizontal="center"/>
    </xf>
    <xf numFmtId="0" fontId="5" fillId="0" borderId="0" xfId="27" applyFont="1" applyAlignment="1">
      <alignment/>
    </xf>
    <xf numFmtId="0" fontId="4" fillId="0" borderId="0" xfId="27" applyFont="1" applyAlignment="1">
      <alignment horizontal="center"/>
    </xf>
    <xf numFmtId="0" fontId="14" fillId="0" borderId="0" xfId="27" applyFont="1" applyAlignment="1">
      <alignment horizontal="centerContinuous"/>
    </xf>
    <xf numFmtId="0" fontId="10" fillId="0" borderId="0" xfId="27" applyFont="1" applyAlignment="1">
      <alignment/>
    </xf>
    <xf numFmtId="0" fontId="4" fillId="0" borderId="17" xfId="27" applyFont="1" applyFill="1" applyBorder="1" applyAlignment="1">
      <alignment horizontal="center"/>
    </xf>
    <xf numFmtId="0" fontId="5" fillId="3" borderId="41" xfId="27" applyFont="1" applyFill="1" applyBorder="1" applyAlignment="1">
      <alignment/>
    </xf>
    <xf numFmtId="0" fontId="5" fillId="3" borderId="42" xfId="27" applyFont="1" applyFill="1" applyBorder="1" applyAlignment="1">
      <alignment/>
    </xf>
    <xf numFmtId="0" fontId="5" fillId="4" borderId="32" xfId="27" applyFont="1" applyFill="1" applyBorder="1" applyAlignment="1">
      <alignment/>
    </xf>
    <xf numFmtId="0" fontId="5" fillId="0" borderId="20" xfId="27" applyFont="1" applyFill="1" applyBorder="1" applyAlignment="1">
      <alignment/>
    </xf>
    <xf numFmtId="0" fontId="5" fillId="0" borderId="21" xfId="27" applyFont="1" applyFill="1" applyBorder="1" applyAlignment="1">
      <alignment horizontal="left"/>
    </xf>
    <xf numFmtId="0" fontId="5" fillId="2" borderId="11" xfId="27" applyFont="1" applyFill="1" applyBorder="1" applyAlignment="1">
      <alignment/>
    </xf>
    <xf numFmtId="0" fontId="5" fillId="2" borderId="0" xfId="27" applyFont="1" applyFill="1" applyBorder="1" applyAlignment="1">
      <alignment/>
    </xf>
    <xf numFmtId="0" fontId="4" fillId="3" borderId="0" xfId="27" applyFont="1" applyFill="1" applyBorder="1" applyAlignment="1">
      <alignment horizontal="left"/>
    </xf>
    <xf numFmtId="0" fontId="5" fillId="3" borderId="0" xfId="27" applyFont="1" applyFill="1" applyBorder="1" applyAlignment="1">
      <alignment horizontal="left"/>
    </xf>
    <xf numFmtId="0" fontId="5" fillId="0" borderId="20" xfId="27" applyFont="1" applyFill="1" applyBorder="1" applyAlignment="1">
      <alignment horizontal="left"/>
    </xf>
    <xf numFmtId="0" fontId="5" fillId="3" borderId="43" xfId="27" applyFont="1" applyFill="1" applyBorder="1" applyAlignment="1">
      <alignment horizontal="left"/>
    </xf>
    <xf numFmtId="0" fontId="17" fillId="0" borderId="20" xfId="27" applyFont="1" applyFill="1" applyBorder="1" applyAlignment="1">
      <alignment horizontal="center"/>
    </xf>
    <xf numFmtId="0" fontId="5" fillId="2" borderId="22" xfId="27" applyFont="1" applyFill="1" applyBorder="1" applyAlignment="1">
      <alignment horizontal="center"/>
    </xf>
    <xf numFmtId="0" fontId="5" fillId="3" borderId="30" xfId="27" applyFont="1" applyFill="1" applyBorder="1" applyAlignment="1">
      <alignment horizontal="left"/>
    </xf>
    <xf numFmtId="0" fontId="4" fillId="0" borderId="44" xfId="27" applyFont="1" applyBorder="1" applyAlignment="1">
      <alignment horizontal="center"/>
    </xf>
    <xf numFmtId="0" fontId="5" fillId="3" borderId="21" xfId="27" applyFont="1" applyFill="1" applyBorder="1" applyAlignment="1">
      <alignment horizontal="left"/>
    </xf>
    <xf numFmtId="0" fontId="5" fillId="3" borderId="32" xfId="27" applyFont="1" applyFill="1" applyBorder="1" applyAlignment="1">
      <alignment horizontal="right"/>
    </xf>
    <xf numFmtId="0" fontId="5" fillId="0" borderId="26" xfId="27" applyFont="1" applyFill="1" applyBorder="1" applyAlignment="1">
      <alignment/>
    </xf>
    <xf numFmtId="0" fontId="5" fillId="0" borderId="26" xfId="27" applyFont="1" applyFill="1" applyBorder="1" applyAlignment="1">
      <alignment horizontal="center"/>
    </xf>
    <xf numFmtId="0" fontId="0" fillId="3" borderId="43" xfId="27" applyFont="1" applyFill="1" applyBorder="1" applyAlignment="1">
      <alignment/>
    </xf>
    <xf numFmtId="0" fontId="16" fillId="0" borderId="24" xfId="27" applyFont="1" applyFill="1" applyBorder="1" applyAlignment="1">
      <alignment horizontal="center"/>
    </xf>
    <xf numFmtId="0" fontId="5" fillId="3" borderId="0" xfId="27" applyFont="1" applyFill="1" applyBorder="1" applyAlignment="1">
      <alignment horizontal="right"/>
    </xf>
    <xf numFmtId="0" fontId="5" fillId="3" borderId="33" xfId="27" applyFont="1" applyFill="1" applyBorder="1" applyAlignment="1">
      <alignment horizontal="right"/>
    </xf>
    <xf numFmtId="0" fontId="5" fillId="0" borderId="0" xfId="27" applyFont="1" applyFill="1" applyBorder="1" applyAlignment="1">
      <alignment/>
    </xf>
    <xf numFmtId="0" fontId="5" fillId="3" borderId="12" xfId="27" applyFont="1" applyFill="1" applyBorder="1" applyAlignment="1">
      <alignment horizontal="right"/>
    </xf>
    <xf numFmtId="0" fontId="22" fillId="0" borderId="26" xfId="27" applyFont="1" applyFill="1" applyBorder="1" applyAlignment="1">
      <alignment horizontal="center" vertical="center"/>
    </xf>
    <xf numFmtId="0" fontId="5" fillId="0" borderId="43" xfId="27" applyFont="1" applyFill="1" applyBorder="1" applyAlignment="1">
      <alignment horizontal="center"/>
    </xf>
    <xf numFmtId="187" fontId="5" fillId="0" borderId="45" xfId="27" applyNumberFormat="1" applyFont="1" applyFill="1" applyBorder="1" applyAlignment="1">
      <alignment/>
    </xf>
    <xf numFmtId="187" fontId="0" fillId="0" borderId="0" xfId="31" applyNumberFormat="1">
      <alignment/>
      <protection/>
    </xf>
    <xf numFmtId="0" fontId="4" fillId="2" borderId="34" xfId="27" applyFont="1" applyFill="1" applyBorder="1" applyAlignment="1">
      <alignment horizontal="center"/>
    </xf>
    <xf numFmtId="0" fontId="16" fillId="0" borderId="46" xfId="27" applyFont="1" applyFill="1" applyBorder="1" applyAlignment="1">
      <alignment horizontal="center"/>
    </xf>
    <xf numFmtId="0" fontId="5" fillId="0" borderId="47" xfId="27" applyFont="1" applyFill="1" applyBorder="1" applyAlignment="1">
      <alignment horizontal="center"/>
    </xf>
    <xf numFmtId="0" fontId="5" fillId="4" borderId="48" xfId="27" applyFont="1" applyFill="1" applyBorder="1" applyAlignment="1">
      <alignment/>
    </xf>
    <xf numFmtId="0" fontId="4" fillId="0" borderId="0" xfId="27" applyFont="1" applyBorder="1" applyAlignment="1">
      <alignment horizontal="center"/>
    </xf>
    <xf numFmtId="0" fontId="16" fillId="0" borderId="0" xfId="27" applyFont="1" applyFill="1" applyBorder="1" applyAlignment="1">
      <alignment/>
    </xf>
    <xf numFmtId="0" fontId="5" fillId="0" borderId="0" xfId="27" applyFont="1" applyFill="1" applyBorder="1" applyAlignment="1">
      <alignment horizontal="center"/>
    </xf>
    <xf numFmtId="0" fontId="23" fillId="0" borderId="0" xfId="27" applyFont="1" applyFill="1" applyAlignment="1">
      <alignment/>
    </xf>
    <xf numFmtId="0" fontId="10" fillId="0" borderId="0" xfId="27" applyFont="1" applyAlignment="1">
      <alignment horizontal="centerContinuous"/>
    </xf>
    <xf numFmtId="0" fontId="4" fillId="2" borderId="6" xfId="27" applyFont="1" applyFill="1" applyBorder="1" applyAlignment="1">
      <alignment horizontal="center"/>
    </xf>
    <xf numFmtId="0" fontId="5" fillId="3" borderId="37" xfId="27" applyFont="1" applyFill="1" applyBorder="1" applyAlignment="1">
      <alignment/>
    </xf>
    <xf numFmtId="0" fontId="4" fillId="0" borderId="21" xfId="27" applyFont="1" applyFill="1" applyBorder="1" applyAlignment="1">
      <alignment/>
    </xf>
    <xf numFmtId="187" fontId="5" fillId="0" borderId="21" xfId="27" applyNumberFormat="1" applyFont="1" applyFill="1" applyBorder="1" applyAlignment="1">
      <alignment/>
    </xf>
    <xf numFmtId="187" fontId="5" fillId="0" borderId="18" xfId="27" applyNumberFormat="1" applyFont="1" applyBorder="1" applyAlignment="1">
      <alignment/>
    </xf>
    <xf numFmtId="187" fontId="5" fillId="0" borderId="24" xfId="27" applyNumberFormat="1" applyFont="1" applyFill="1" applyBorder="1" applyAlignment="1">
      <alignment/>
    </xf>
    <xf numFmtId="187" fontId="5" fillId="0" borderId="30" xfId="27" applyNumberFormat="1" applyFont="1" applyBorder="1" applyAlignment="1">
      <alignment/>
    </xf>
    <xf numFmtId="0" fontId="5" fillId="0" borderId="49" xfId="27" applyFont="1" applyFill="1" applyBorder="1" applyAlignment="1">
      <alignment/>
    </xf>
    <xf numFmtId="187" fontId="5" fillId="0" borderId="50" xfId="27" applyNumberFormat="1" applyFont="1" applyBorder="1" applyAlignment="1">
      <alignment/>
    </xf>
    <xf numFmtId="187" fontId="5" fillId="0" borderId="36" xfId="27" applyNumberFormat="1" applyFont="1" applyBorder="1" applyAlignment="1">
      <alignment/>
    </xf>
    <xf numFmtId="0" fontId="5" fillId="0" borderId="0" xfId="27" applyFont="1" applyBorder="1" applyAlignment="1">
      <alignment/>
    </xf>
    <xf numFmtId="0" fontId="14" fillId="0" borderId="0" xfId="27" applyFont="1" applyFill="1" applyAlignment="1" quotePrefix="1">
      <alignment horizontal="centerContinuous"/>
    </xf>
    <xf numFmtId="0" fontId="4" fillId="4" borderId="6" xfId="27" applyFont="1" applyFill="1" applyBorder="1" applyAlignment="1">
      <alignment horizontal="center"/>
    </xf>
    <xf numFmtId="0" fontId="4" fillId="0" borderId="51" xfId="27" applyFont="1" applyFill="1" applyBorder="1" applyAlignment="1">
      <alignment/>
    </xf>
    <xf numFmtId="187" fontId="5" fillId="0" borderId="24" xfId="27" applyNumberFormat="1" applyFont="1" applyBorder="1" applyAlignment="1">
      <alignment/>
    </xf>
    <xf numFmtId="0" fontId="4" fillId="0" borderId="26" xfId="27" applyFont="1" applyFill="1" applyBorder="1" applyAlignment="1">
      <alignment horizontal="center"/>
    </xf>
    <xf numFmtId="0" fontId="4" fillId="0" borderId="24" xfId="27" applyFont="1" applyFill="1" applyBorder="1" applyAlignment="1">
      <alignment/>
    </xf>
    <xf numFmtId="187" fontId="5" fillId="0" borderId="46" xfId="27" applyNumberFormat="1" applyFont="1" applyBorder="1" applyAlignment="1">
      <alignment/>
    </xf>
    <xf numFmtId="187" fontId="5" fillId="0" borderId="52" xfId="27" applyNumberFormat="1" applyFont="1" applyBorder="1" applyAlignment="1">
      <alignment/>
    </xf>
    <xf numFmtId="0" fontId="4" fillId="2" borderId="31" xfId="27" applyFont="1" applyFill="1" applyBorder="1" applyAlignment="1">
      <alignment horizontal="center"/>
    </xf>
    <xf numFmtId="0" fontId="4" fillId="4" borderId="28" xfId="27" applyFont="1" applyFill="1" applyBorder="1" applyAlignment="1">
      <alignment/>
    </xf>
    <xf numFmtId="0" fontId="16" fillId="0" borderId="0" xfId="27" applyFont="1" applyFill="1" applyAlignment="1">
      <alignment/>
    </xf>
    <xf numFmtId="0" fontId="24" fillId="0" borderId="0" xfId="30">
      <alignment/>
      <protection/>
    </xf>
    <xf numFmtId="0" fontId="25" fillId="0" borderId="0" xfId="30" applyFont="1">
      <alignment/>
      <protection/>
    </xf>
    <xf numFmtId="0" fontId="25" fillId="0" borderId="0" xfId="30" applyFont="1" applyAlignment="1">
      <alignment horizontal="right"/>
      <protection/>
    </xf>
    <xf numFmtId="0" fontId="24" fillId="0" borderId="0" xfId="30" applyAlignment="1">
      <alignment horizontal="right"/>
      <protection/>
    </xf>
    <xf numFmtId="0" fontId="24" fillId="0" borderId="12" xfId="30" applyBorder="1">
      <alignment/>
      <protection/>
    </xf>
    <xf numFmtId="0" fontId="25" fillId="0" borderId="0" xfId="30" applyFont="1" applyAlignment="1">
      <alignment horizontal="center"/>
      <protection/>
    </xf>
    <xf numFmtId="0" fontId="25" fillId="0" borderId="2" xfId="30" applyFont="1" applyBorder="1" applyAlignment="1">
      <alignment horizontal="left"/>
      <protection/>
    </xf>
    <xf numFmtId="0" fontId="25" fillId="0" borderId="2" xfId="30" applyFont="1" applyBorder="1" applyAlignment="1">
      <alignment horizontal="center"/>
      <protection/>
    </xf>
    <xf numFmtId="0" fontId="25" fillId="0" borderId="0" xfId="30" applyFont="1" applyBorder="1" applyAlignment="1">
      <alignment horizontal="center"/>
      <protection/>
    </xf>
    <xf numFmtId="0" fontId="24" fillId="0" borderId="0" xfId="30" applyFont="1">
      <alignment/>
      <protection/>
    </xf>
    <xf numFmtId="37" fontId="24" fillId="0" borderId="0" xfId="30" applyNumberFormat="1">
      <alignment/>
      <protection/>
    </xf>
    <xf numFmtId="167" fontId="24" fillId="0" borderId="0" xfId="30" applyNumberFormat="1">
      <alignment/>
      <protection/>
    </xf>
    <xf numFmtId="0" fontId="24" fillId="0" borderId="0" xfId="30" applyFont="1" applyAlignment="1">
      <alignment vertical="center"/>
      <protection/>
    </xf>
    <xf numFmtId="37" fontId="24" fillId="0" borderId="12" xfId="30" applyNumberFormat="1" applyBorder="1">
      <alignment/>
      <protection/>
    </xf>
    <xf numFmtId="37" fontId="24" fillId="0" borderId="0" xfId="30" applyNumberFormat="1" applyBorder="1">
      <alignment/>
      <protection/>
    </xf>
    <xf numFmtId="0" fontId="24" fillId="0" borderId="0" xfId="30" applyBorder="1">
      <alignment/>
      <protection/>
    </xf>
    <xf numFmtId="167" fontId="25" fillId="0" borderId="3" xfId="30" applyNumberFormat="1" applyFont="1" applyBorder="1">
      <alignment/>
      <protection/>
    </xf>
    <xf numFmtId="167" fontId="25" fillId="0" borderId="0" xfId="30" applyNumberFormat="1" applyFont="1" applyBorder="1">
      <alignment/>
      <protection/>
    </xf>
    <xf numFmtId="8" fontId="24" fillId="0" borderId="0" xfId="30" applyNumberFormat="1">
      <alignment/>
      <protection/>
    </xf>
    <xf numFmtId="187" fontId="24" fillId="0" borderId="0" xfId="30" applyNumberFormat="1">
      <alignment/>
      <protection/>
    </xf>
    <xf numFmtId="0" fontId="26" fillId="0" borderId="0" xfId="30" applyFont="1">
      <alignment/>
      <protection/>
    </xf>
    <xf numFmtId="0" fontId="27" fillId="0" borderId="0" xfId="0" applyFont="1" applyAlignment="1">
      <alignment/>
    </xf>
    <xf numFmtId="0" fontId="0" fillId="0" borderId="22" xfId="0" applyBorder="1" applyAlignment="1">
      <alignment horizontal="centerContinuous"/>
    </xf>
    <xf numFmtId="0" fontId="0" fillId="0" borderId="14" xfId="0" applyBorder="1" applyAlignment="1">
      <alignment horizontal="centerContinuous"/>
    </xf>
    <xf numFmtId="0" fontId="0" fillId="0" borderId="51" xfId="0" applyBorder="1" applyAlignment="1">
      <alignment horizontal="centerContinuous"/>
    </xf>
    <xf numFmtId="0" fontId="0" fillId="0" borderId="0" xfId="0" applyAlignment="1">
      <alignment horizontal="centerContinuous"/>
    </xf>
    <xf numFmtId="0" fontId="0" fillId="0" borderId="0" xfId="0" applyAlignment="1">
      <alignment horizontal="center"/>
    </xf>
    <xf numFmtId="0" fontId="0" fillId="0" borderId="0" xfId="0" applyFill="1" applyBorder="1" applyAlignment="1">
      <alignment horizontal="center"/>
    </xf>
    <xf numFmtId="0" fontId="0" fillId="0" borderId="21" xfId="0" applyBorder="1" applyAlignment="1">
      <alignment horizontal="center"/>
    </xf>
    <xf numFmtId="190" fontId="0" fillId="0" borderId="21" xfId="0" applyNumberFormat="1" applyBorder="1" applyAlignment="1">
      <alignment/>
    </xf>
    <xf numFmtId="1" fontId="0" fillId="0" borderId="0" xfId="0" applyNumberFormat="1" applyAlignment="1">
      <alignment/>
    </xf>
    <xf numFmtId="1" fontId="0" fillId="0" borderId="0" xfId="0" applyNumberFormat="1" applyFont="1" applyAlignment="1">
      <alignment/>
    </xf>
    <xf numFmtId="168" fontId="0" fillId="0" borderId="0" xfId="0" applyNumberFormat="1" applyFont="1" applyAlignment="1">
      <alignment/>
    </xf>
    <xf numFmtId="2" fontId="0" fillId="0" borderId="0" xfId="0" applyNumberFormat="1" applyAlignment="1">
      <alignment/>
    </xf>
    <xf numFmtId="4" fontId="0" fillId="0" borderId="0" xfId="0" applyNumberFormat="1" applyAlignment="1">
      <alignment/>
    </xf>
    <xf numFmtId="168" fontId="11" fillId="0" borderId="0" xfId="0" applyNumberFormat="1" applyFont="1" applyAlignment="1">
      <alignment/>
    </xf>
    <xf numFmtId="10" fontId="0" fillId="0" borderId="0" xfId="0" applyNumberFormat="1" applyAlignment="1">
      <alignment/>
    </xf>
    <xf numFmtId="168" fontId="27" fillId="0" borderId="0" xfId="0" applyNumberFormat="1" applyFont="1" applyAlignment="1">
      <alignment/>
    </xf>
    <xf numFmtId="0" fontId="0" fillId="0" borderId="21" xfId="0" applyFill="1" applyBorder="1" applyAlignment="1">
      <alignment horizontal="center"/>
    </xf>
    <xf numFmtId="190" fontId="0" fillId="5" borderId="21" xfId="0" applyNumberFormat="1" applyFill="1" applyBorder="1" applyAlignment="1">
      <alignment/>
    </xf>
    <xf numFmtId="1" fontId="0" fillId="5" borderId="0" xfId="0" applyNumberFormat="1" applyFont="1" applyFill="1" applyAlignment="1">
      <alignment/>
    </xf>
    <xf numFmtId="168" fontId="0" fillId="5" borderId="0" xfId="0" applyNumberFormat="1" applyFont="1" applyFill="1" applyAlignment="1">
      <alignment/>
    </xf>
    <xf numFmtId="1" fontId="0" fillId="5" borderId="0" xfId="0" applyNumberFormat="1" applyFill="1" applyAlignment="1">
      <alignment/>
    </xf>
    <xf numFmtId="168" fontId="0" fillId="5" borderId="0" xfId="0" applyNumberFormat="1" applyFill="1" applyAlignment="1">
      <alignment/>
    </xf>
    <xf numFmtId="0" fontId="0" fillId="5" borderId="0" xfId="0" applyFill="1" applyAlignment="1">
      <alignment/>
    </xf>
    <xf numFmtId="191" fontId="0" fillId="0" borderId="0" xfId="0" applyNumberFormat="1" applyAlignment="1">
      <alignment/>
    </xf>
    <xf numFmtId="0" fontId="5" fillId="0" borderId="0" xfId="0" applyNumberFormat="1" applyFont="1" applyAlignment="1">
      <alignment horizontal="center" vertical="top" wrapText="1"/>
    </xf>
    <xf numFmtId="0" fontId="28" fillId="0" borderId="0" xfId="27" applyFont="1" applyFill="1" applyAlignment="1">
      <alignment horizontal="centerContinuous"/>
    </xf>
    <xf numFmtId="0" fontId="4" fillId="0" borderId="0" xfId="27" applyFont="1" applyFill="1" applyAlignment="1">
      <alignment horizontal="centerContinuous"/>
    </xf>
    <xf numFmtId="0" fontId="15" fillId="0" borderId="6" xfId="27" applyFont="1" applyBorder="1" applyAlignment="1">
      <alignment horizontal="center"/>
    </xf>
    <xf numFmtId="0" fontId="15" fillId="0" borderId="11" xfId="27" applyFont="1" applyBorder="1" applyAlignment="1">
      <alignment horizontal="center"/>
    </xf>
    <xf numFmtId="0" fontId="4" fillId="0" borderId="15" xfId="27" applyFont="1" applyBorder="1" applyAlignment="1">
      <alignment horizontal="center"/>
    </xf>
    <xf numFmtId="0" fontId="4" fillId="0" borderId="53" xfId="27" applyFont="1" applyFill="1" applyBorder="1" applyAlignment="1">
      <alignment horizontal="center"/>
    </xf>
    <xf numFmtId="0" fontId="5" fillId="6" borderId="18" xfId="27" applyFont="1" applyFill="1" applyBorder="1" applyAlignment="1">
      <alignment/>
    </xf>
    <xf numFmtId="0" fontId="5" fillId="6" borderId="42" xfId="27" applyFont="1" applyFill="1" applyBorder="1" applyAlignment="1">
      <alignment/>
    </xf>
    <xf numFmtId="0" fontId="5" fillId="6" borderId="54" xfId="27" applyFont="1" applyFill="1" applyBorder="1" applyAlignment="1">
      <alignment/>
    </xf>
    <xf numFmtId="0" fontId="16" fillId="0" borderId="51" xfId="27" applyFont="1" applyFill="1" applyBorder="1" applyAlignment="1">
      <alignment/>
    </xf>
    <xf numFmtId="187" fontId="5" fillId="0" borderId="55" xfId="27" applyNumberFormat="1" applyFont="1" applyFill="1" applyBorder="1" applyAlignment="1">
      <alignment/>
    </xf>
    <xf numFmtId="187" fontId="5" fillId="0" borderId="56" xfId="27" applyNumberFormat="1" applyFont="1" applyBorder="1" applyAlignment="1">
      <alignment/>
    </xf>
    <xf numFmtId="0" fontId="0" fillId="0" borderId="21" xfId="27" applyFont="1" applyBorder="1" applyAlignment="1">
      <alignment/>
    </xf>
    <xf numFmtId="0" fontId="4" fillId="0" borderId="51" xfId="27" applyFont="1" applyFill="1" applyBorder="1" applyAlignment="1">
      <alignment horizontal="center"/>
    </xf>
    <xf numFmtId="0" fontId="5" fillId="6" borderId="0" xfId="27" applyFont="1" applyFill="1" applyBorder="1" applyAlignment="1">
      <alignment/>
    </xf>
    <xf numFmtId="0" fontId="5" fillId="6" borderId="33" xfId="27" applyFont="1" applyFill="1" applyBorder="1" applyAlignment="1">
      <alignment/>
    </xf>
    <xf numFmtId="16" fontId="5" fillId="0" borderId="21" xfId="27" applyNumberFormat="1" applyFont="1" applyBorder="1" applyAlignment="1">
      <alignment horizontal="right"/>
    </xf>
    <xf numFmtId="0" fontId="5" fillId="4" borderId="33" xfId="27" applyFont="1" applyFill="1" applyBorder="1" applyAlignment="1">
      <alignment/>
    </xf>
    <xf numFmtId="0" fontId="5" fillId="0" borderId="21" xfId="27" applyFont="1" applyFill="1" applyBorder="1" applyAlignment="1">
      <alignment/>
    </xf>
    <xf numFmtId="0" fontId="5" fillId="0" borderId="21" xfId="27" applyFont="1" applyBorder="1" applyAlignment="1">
      <alignment horizontal="centerContinuous"/>
    </xf>
    <xf numFmtId="0" fontId="19" fillId="0" borderId="28" xfId="27" applyFont="1" applyFill="1" applyBorder="1" applyAlignment="1">
      <alignment/>
    </xf>
    <xf numFmtId="0" fontId="0" fillId="0" borderId="57" xfId="27" applyFont="1" applyFill="1" applyBorder="1" applyAlignment="1">
      <alignment/>
    </xf>
    <xf numFmtId="0" fontId="19" fillId="0" borderId="38" xfId="27" applyFont="1" applyFill="1" applyBorder="1" applyAlignment="1">
      <alignment horizontal="center"/>
    </xf>
    <xf numFmtId="0" fontId="5" fillId="6" borderId="30" xfId="27" applyFont="1" applyFill="1" applyBorder="1" applyAlignment="1">
      <alignment/>
    </xf>
    <xf numFmtId="0" fontId="5" fillId="0" borderId="0" xfId="27" applyFont="1" applyFill="1" applyAlignment="1">
      <alignment/>
    </xf>
    <xf numFmtId="38" fontId="0" fillId="0" borderId="0" xfId="0" applyNumberFormat="1" applyAlignment="1">
      <alignment/>
    </xf>
    <xf numFmtId="38" fontId="0" fillId="0" borderId="0" xfId="0" applyNumberFormat="1" applyFont="1" applyAlignment="1">
      <alignment/>
    </xf>
    <xf numFmtId="38" fontId="0" fillId="5" borderId="0" xfId="0" applyNumberFormat="1" applyFill="1" applyAlignment="1">
      <alignment/>
    </xf>
    <xf numFmtId="0" fontId="0" fillId="0" borderId="37" xfId="0" applyBorder="1" applyAlignment="1">
      <alignment/>
    </xf>
    <xf numFmtId="0" fontId="0" fillId="0" borderId="27" xfId="0" applyBorder="1" applyAlignment="1">
      <alignment/>
    </xf>
    <xf numFmtId="0" fontId="0" fillId="0" borderId="58" xfId="0" applyBorder="1" applyAlignment="1">
      <alignment/>
    </xf>
    <xf numFmtId="6" fontId="5" fillId="0" borderId="9" xfId="0" applyNumberFormat="1" applyFont="1" applyBorder="1" applyAlignment="1">
      <alignment/>
    </xf>
    <xf numFmtId="0" fontId="30" fillId="0" borderId="8" xfId="0" applyFont="1" applyBorder="1" applyAlignment="1">
      <alignment/>
    </xf>
    <xf numFmtId="0" fontId="30" fillId="0" borderId="27" xfId="0" applyFont="1" applyBorder="1" applyAlignment="1">
      <alignment/>
    </xf>
    <xf numFmtId="0" fontId="11" fillId="0" borderId="45" xfId="0" applyFont="1" applyBorder="1" applyAlignment="1">
      <alignment/>
    </xf>
    <xf numFmtId="0" fontId="0" fillId="0" borderId="59" xfId="0" applyBorder="1" applyAlignment="1">
      <alignment/>
    </xf>
    <xf numFmtId="3" fontId="0" fillId="0" borderId="5" xfId="0" applyNumberFormat="1" applyBorder="1" applyAlignment="1">
      <alignment/>
    </xf>
    <xf numFmtId="3" fontId="0" fillId="0" borderId="58" xfId="0" applyNumberFormat="1" applyBorder="1" applyAlignment="1">
      <alignment/>
    </xf>
    <xf numFmtId="3" fontId="0" fillId="0" borderId="27" xfId="0" applyNumberFormat="1" applyBorder="1" applyAlignment="1">
      <alignment/>
    </xf>
    <xf numFmtId="3" fontId="0" fillId="0" borderId="0" xfId="0" applyNumberFormat="1" applyBorder="1" applyAlignment="1">
      <alignment/>
    </xf>
    <xf numFmtId="3" fontId="0" fillId="0" borderId="2" xfId="0" applyNumberFormat="1" applyBorder="1" applyAlignment="1">
      <alignment/>
    </xf>
    <xf numFmtId="3" fontId="0" fillId="0" borderId="10" xfId="0" applyNumberFormat="1" applyBorder="1" applyAlignment="1">
      <alignment/>
    </xf>
    <xf numFmtId="3" fontId="11" fillId="0" borderId="45" xfId="0" applyNumberFormat="1" applyFont="1" applyBorder="1" applyAlignment="1">
      <alignment horizontal="center"/>
    </xf>
    <xf numFmtId="3" fontId="11" fillId="0" borderId="59" xfId="0" applyNumberFormat="1" applyFont="1" applyBorder="1" applyAlignment="1">
      <alignment horizontal="center"/>
    </xf>
    <xf numFmtId="3" fontId="11" fillId="0" borderId="39" xfId="0" applyNumberFormat="1" applyFont="1" applyBorder="1" applyAlignment="1">
      <alignment horizontal="center"/>
    </xf>
    <xf numFmtId="187" fontId="5" fillId="0" borderId="49" xfId="27" applyNumberFormat="1" applyFont="1" applyBorder="1" applyAlignment="1">
      <alignment/>
    </xf>
    <xf numFmtId="187" fontId="5" fillId="3" borderId="22" xfId="27" applyNumberFormat="1" applyFont="1" applyFill="1" applyBorder="1" applyAlignment="1">
      <alignment/>
    </xf>
    <xf numFmtId="187" fontId="5" fillId="3" borderId="14" xfId="27" applyNumberFormat="1" applyFont="1" applyFill="1" applyBorder="1" applyAlignment="1">
      <alignment/>
    </xf>
    <xf numFmtId="187" fontId="5" fillId="0" borderId="49" xfId="27" applyNumberFormat="1" applyFont="1" applyFill="1" applyBorder="1" applyAlignment="1">
      <alignment/>
    </xf>
    <xf numFmtId="187" fontId="5" fillId="3" borderId="0" xfId="27" applyNumberFormat="1" applyFont="1" applyFill="1" applyBorder="1" applyAlignment="1">
      <alignment/>
    </xf>
    <xf numFmtId="187" fontId="5" fillId="0" borderId="21" xfId="27" applyNumberFormat="1" applyFont="1" applyBorder="1" applyAlignment="1">
      <alignment horizontal="right"/>
    </xf>
    <xf numFmtId="187" fontId="5" fillId="0" borderId="30" xfId="27" applyNumberFormat="1" applyFont="1" applyBorder="1" applyAlignment="1">
      <alignment horizontal="right"/>
    </xf>
    <xf numFmtId="187" fontId="5" fillId="2" borderId="0" xfId="27" applyNumberFormat="1" applyFont="1" applyFill="1" applyBorder="1" applyAlignment="1">
      <alignment/>
    </xf>
    <xf numFmtId="187" fontId="5" fillId="2" borderId="59" xfId="27" applyNumberFormat="1" applyFont="1" applyFill="1" applyBorder="1" applyAlignment="1">
      <alignment/>
    </xf>
    <xf numFmtId="187" fontId="5" fillId="0" borderId="22" xfId="27" applyNumberFormat="1" applyFont="1" applyFill="1" applyBorder="1" applyAlignment="1">
      <alignment/>
    </xf>
    <xf numFmtId="187" fontId="5" fillId="0" borderId="30" xfId="27" applyNumberFormat="1" applyFont="1" applyFill="1" applyBorder="1" applyAlignment="1">
      <alignment/>
    </xf>
    <xf numFmtId="187" fontId="5" fillId="3" borderId="28" xfId="27" applyNumberFormat="1" applyFont="1" applyFill="1" applyBorder="1" applyAlignment="1">
      <alignment/>
    </xf>
    <xf numFmtId="187" fontId="5" fillId="3" borderId="30" xfId="27" applyNumberFormat="1" applyFont="1" applyFill="1" applyBorder="1" applyAlignment="1">
      <alignment/>
    </xf>
    <xf numFmtId="187" fontId="5" fillId="3" borderId="12" xfId="27" applyNumberFormat="1" applyFont="1" applyFill="1" applyBorder="1" applyAlignment="1">
      <alignment/>
    </xf>
    <xf numFmtId="187" fontId="4" fillId="3" borderId="28" xfId="27" applyNumberFormat="1" applyFont="1" applyFill="1" applyBorder="1" applyAlignment="1">
      <alignment/>
    </xf>
    <xf numFmtId="187" fontId="5" fillId="0" borderId="12" xfId="27" applyNumberFormat="1" applyFont="1" applyFill="1" applyBorder="1" applyAlignment="1">
      <alignment/>
    </xf>
    <xf numFmtId="187" fontId="5" fillId="0" borderId="48" xfId="27" applyNumberFormat="1" applyFont="1" applyFill="1" applyBorder="1" applyAlignment="1">
      <alignment/>
    </xf>
    <xf numFmtId="187" fontId="5" fillId="4" borderId="0" xfId="27" applyNumberFormat="1" applyFont="1" applyFill="1" applyBorder="1" applyAlignment="1">
      <alignment/>
    </xf>
    <xf numFmtId="187" fontId="5" fillId="3" borderId="60" xfId="27" applyNumberFormat="1" applyFont="1" applyFill="1" applyBorder="1" applyAlignment="1">
      <alignment/>
    </xf>
    <xf numFmtId="187" fontId="5" fillId="0" borderId="55" xfId="27" applyNumberFormat="1" applyFont="1" applyBorder="1" applyAlignment="1">
      <alignment/>
    </xf>
    <xf numFmtId="187" fontId="5" fillId="0" borderId="40" xfId="27" applyNumberFormat="1" applyFont="1" applyBorder="1" applyAlignment="1">
      <alignment/>
    </xf>
    <xf numFmtId="187" fontId="5" fillId="3" borderId="51" xfId="27" applyNumberFormat="1" applyFont="1" applyFill="1" applyBorder="1" applyAlignment="1">
      <alignment/>
    </xf>
    <xf numFmtId="187" fontId="5" fillId="6" borderId="0" xfId="27" applyNumberFormat="1" applyFont="1" applyFill="1" applyBorder="1" applyAlignment="1">
      <alignment/>
    </xf>
    <xf numFmtId="187" fontId="5" fillId="0" borderId="61" xfId="27" applyNumberFormat="1" applyFont="1" applyBorder="1" applyAlignment="1">
      <alignment/>
    </xf>
    <xf numFmtId="187" fontId="5" fillId="6" borderId="14" xfId="27" applyNumberFormat="1" applyFont="1" applyFill="1" applyBorder="1" applyAlignment="1">
      <alignment/>
    </xf>
    <xf numFmtId="187" fontId="5" fillId="6" borderId="62" xfId="27" applyNumberFormat="1" applyFont="1" applyFill="1" applyBorder="1" applyAlignment="1">
      <alignment/>
    </xf>
    <xf numFmtId="187" fontId="0" fillId="0" borderId="21" xfId="27" applyNumberFormat="1" applyFont="1" applyBorder="1" applyAlignment="1">
      <alignment/>
    </xf>
    <xf numFmtId="187" fontId="0" fillId="0" borderId="55" xfId="27" applyNumberFormat="1" applyFont="1" applyBorder="1" applyAlignment="1">
      <alignment/>
    </xf>
    <xf numFmtId="187" fontId="5" fillId="0" borderId="21" xfId="27" applyNumberFormat="1" applyFont="1" applyBorder="1" applyAlignment="1">
      <alignment/>
    </xf>
    <xf numFmtId="187" fontId="5" fillId="0" borderId="32" xfId="27" applyNumberFormat="1" applyFont="1" applyBorder="1" applyAlignment="1">
      <alignment horizontal="centerContinuous"/>
    </xf>
    <xf numFmtId="187" fontId="5" fillId="0" borderId="63" xfId="27" applyNumberFormat="1" applyFont="1" applyBorder="1" applyAlignment="1">
      <alignment horizontal="centerContinuous"/>
    </xf>
    <xf numFmtId="187" fontId="5" fillId="6" borderId="37" xfId="27" applyNumberFormat="1" applyFont="1" applyFill="1" applyBorder="1" applyAlignment="1">
      <alignment/>
    </xf>
    <xf numFmtId="187" fontId="5" fillId="6" borderId="5" xfId="27" applyNumberFormat="1" applyFont="1" applyFill="1" applyBorder="1" applyAlignment="1">
      <alignment/>
    </xf>
    <xf numFmtId="187" fontId="5" fillId="6" borderId="12" xfId="27" applyNumberFormat="1" applyFont="1" applyFill="1" applyBorder="1" applyAlignment="1">
      <alignment/>
    </xf>
    <xf numFmtId="187" fontId="5" fillId="6" borderId="60" xfId="27" applyNumberFormat="1" applyFont="1" applyFill="1" applyBorder="1" applyAlignment="1">
      <alignment/>
    </xf>
    <xf numFmtId="3" fontId="0" fillId="0" borderId="9" xfId="0" applyNumberFormat="1" applyBorder="1" applyAlignment="1">
      <alignment/>
    </xf>
    <xf numFmtId="6" fontId="6" fillId="0" borderId="0" xfId="0" applyNumberFormat="1" applyFont="1" applyBorder="1" applyAlignment="1">
      <alignment horizontal="center" vertical="top" wrapText="1"/>
    </xf>
    <xf numFmtId="178" fontId="5" fillId="0" borderId="0" xfId="0" applyNumberFormat="1" applyFont="1" applyAlignment="1">
      <alignment/>
    </xf>
    <xf numFmtId="167" fontId="5" fillId="0" borderId="0" xfId="0" applyNumberFormat="1" applyFont="1" applyAlignment="1">
      <alignment/>
    </xf>
    <xf numFmtId="167" fontId="5" fillId="0" borderId="0" xfId="15" applyNumberFormat="1" applyFont="1" applyAlignment="1">
      <alignment/>
    </xf>
    <xf numFmtId="178" fontId="5" fillId="0" borderId="0" xfId="15" applyNumberFormat="1" applyFont="1" applyAlignment="1">
      <alignment/>
    </xf>
    <xf numFmtId="167" fontId="5" fillId="0" borderId="2" xfId="0" applyNumberFormat="1" applyFont="1" applyBorder="1" applyAlignment="1">
      <alignment/>
    </xf>
    <xf numFmtId="0" fontId="11" fillId="0" borderId="0" xfId="0" applyFont="1" applyAlignment="1">
      <alignment horizontal="center"/>
    </xf>
    <xf numFmtId="10" fontId="4" fillId="0" borderId="13" xfId="0" applyNumberFormat="1" applyFont="1" applyBorder="1" applyAlignment="1">
      <alignment horizontal="right" vertical="center"/>
    </xf>
    <xf numFmtId="167" fontId="5" fillId="0" borderId="0" xfId="0" applyNumberFormat="1" applyFont="1" applyBorder="1" applyAlignment="1">
      <alignment/>
    </xf>
    <xf numFmtId="167" fontId="4" fillId="0" borderId="3" xfId="0" applyNumberFormat="1" applyFont="1" applyBorder="1" applyAlignment="1">
      <alignment/>
    </xf>
    <xf numFmtId="6" fontId="4" fillId="0" borderId="64" xfId="0" applyNumberFormat="1" applyFont="1" applyBorder="1" applyAlignment="1">
      <alignment/>
    </xf>
    <xf numFmtId="6" fontId="4" fillId="0" borderId="0" xfId="0" applyNumberFormat="1" applyFont="1" applyAlignment="1">
      <alignment horizontal="centerContinuous" vertical="top"/>
    </xf>
    <xf numFmtId="164" fontId="4" fillId="0" borderId="0" xfId="0" applyNumberFormat="1" applyFont="1" applyBorder="1" applyAlignment="1">
      <alignment horizontal="center" vertical="center"/>
    </xf>
    <xf numFmtId="185" fontId="5" fillId="0" borderId="0" xfId="0" applyNumberFormat="1" applyFont="1" applyBorder="1" applyAlignment="1">
      <alignment vertical="top" wrapText="1"/>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Continuous"/>
    </xf>
    <xf numFmtId="0" fontId="10" fillId="0" borderId="0" xfId="0" applyFont="1" applyBorder="1" applyAlignment="1">
      <alignment horizontal="center"/>
    </xf>
    <xf numFmtId="164" fontId="10" fillId="0" borderId="0" xfId="0" applyNumberFormat="1" applyFont="1" applyAlignment="1">
      <alignment horizontal="center" vertical="top"/>
    </xf>
    <xf numFmtId="0" fontId="10" fillId="0" borderId="0" xfId="0" applyFont="1" applyAlignment="1">
      <alignment horizontal="center"/>
    </xf>
    <xf numFmtId="0" fontId="31" fillId="0" borderId="0" xfId="0" applyFont="1" applyAlignment="1">
      <alignment/>
    </xf>
    <xf numFmtId="0" fontId="10" fillId="0" borderId="0" xfId="0" applyFont="1" applyAlignment="1">
      <alignment horizontal="centerContinuous" vertical="top"/>
    </xf>
    <xf numFmtId="0" fontId="10" fillId="0" borderId="0" xfId="0" applyFont="1" applyAlignment="1">
      <alignment horizontal="centerContinuous"/>
    </xf>
    <xf numFmtId="0" fontId="10" fillId="0" borderId="0" xfId="0" applyFont="1" applyAlignment="1">
      <alignment/>
    </xf>
    <xf numFmtId="164" fontId="10" fillId="0" borderId="6" xfId="0" applyNumberFormat="1" applyFont="1" applyBorder="1" applyAlignment="1">
      <alignment horizontal="center" vertical="top"/>
    </xf>
    <xf numFmtId="0" fontId="10" fillId="0" borderId="4" xfId="0" applyFont="1" applyBorder="1" applyAlignment="1">
      <alignment horizontal="center"/>
    </xf>
    <xf numFmtId="0" fontId="32" fillId="0" borderId="0" xfId="0" applyFont="1" applyBorder="1" applyAlignment="1">
      <alignment/>
    </xf>
    <xf numFmtId="0" fontId="32" fillId="0" borderId="0" xfId="0" applyFont="1" applyAlignment="1">
      <alignment/>
    </xf>
    <xf numFmtId="0" fontId="3" fillId="0" borderId="0" xfId="0" applyFont="1" applyAlignment="1">
      <alignment horizontal="right"/>
    </xf>
    <xf numFmtId="8" fontId="3" fillId="0" borderId="0" xfId="0" applyNumberFormat="1" applyFont="1" applyAlignment="1">
      <alignment horizontal="right"/>
    </xf>
    <xf numFmtId="8" fontId="3" fillId="0" borderId="0" xfId="0" applyNumberFormat="1" applyFont="1" applyAlignment="1">
      <alignment/>
    </xf>
    <xf numFmtId="0" fontId="33" fillId="0" borderId="0" xfId="0" applyFont="1" applyAlignment="1">
      <alignment horizontal="right"/>
    </xf>
    <xf numFmtId="0" fontId="34" fillId="0" borderId="0" xfId="0" applyFont="1" applyBorder="1" applyAlignment="1">
      <alignment horizontal="center"/>
    </xf>
    <xf numFmtId="0" fontId="33" fillId="0" borderId="0" xfId="0" applyFont="1" applyAlignment="1">
      <alignment/>
    </xf>
    <xf numFmtId="0" fontId="35" fillId="0" borderId="0" xfId="0" applyFont="1" applyAlignment="1">
      <alignment/>
    </xf>
    <xf numFmtId="8" fontId="36" fillId="0" borderId="0" xfId="0" applyNumberFormat="1" applyFont="1" applyAlignment="1">
      <alignment horizontal="right"/>
    </xf>
    <xf numFmtId="187" fontId="3" fillId="0" borderId="0" xfId="0" applyNumberFormat="1" applyFont="1" applyAlignment="1">
      <alignment/>
    </xf>
    <xf numFmtId="187" fontId="36" fillId="0" borderId="0" xfId="0" applyNumberFormat="1" applyFont="1" applyAlignment="1">
      <alignment/>
    </xf>
    <xf numFmtId="8" fontId="36" fillId="0" borderId="0" xfId="0" applyNumberFormat="1" applyFont="1" applyAlignment="1">
      <alignment/>
    </xf>
    <xf numFmtId="8" fontId="10" fillId="0" borderId="0" xfId="0" applyNumberFormat="1" applyFont="1" applyAlignment="1">
      <alignment horizontal="right"/>
    </xf>
    <xf numFmtId="10" fontId="10" fillId="0" borderId="0" xfId="0" applyNumberFormat="1" applyFont="1" applyAlignment="1">
      <alignment/>
    </xf>
    <xf numFmtId="8" fontId="10" fillId="0" borderId="0" xfId="0" applyNumberFormat="1" applyFont="1" applyAlignment="1">
      <alignment/>
    </xf>
    <xf numFmtId="0" fontId="10" fillId="0" borderId="0" xfId="0" applyFont="1" applyBorder="1" applyAlignment="1" quotePrefix="1">
      <alignment horizontal="center"/>
    </xf>
    <xf numFmtId="0" fontId="31" fillId="0" borderId="0" xfId="0" applyFont="1" applyAlignment="1">
      <alignment horizontal="centerContinuous"/>
    </xf>
    <xf numFmtId="0" fontId="10" fillId="0" borderId="0" xfId="0" applyFont="1" applyAlignment="1">
      <alignment horizontal="centerContinuous" vertical="center"/>
    </xf>
    <xf numFmtId="164" fontId="10" fillId="0" borderId="0" xfId="0" applyNumberFormat="1" applyFont="1" applyAlignment="1">
      <alignment horizontal="centerContinuous" vertical="top"/>
    </xf>
    <xf numFmtId="0" fontId="3" fillId="0" borderId="0" xfId="0" applyFont="1" applyFill="1" applyAlignment="1">
      <alignment/>
    </xf>
    <xf numFmtId="0" fontId="37" fillId="0" borderId="0" xfId="0" applyFont="1" applyBorder="1" applyAlignment="1">
      <alignment/>
    </xf>
    <xf numFmtId="6" fontId="5" fillId="0" borderId="0" xfId="0" applyNumberFormat="1" applyFont="1" applyFill="1" applyAlignment="1">
      <alignment horizontal="right"/>
    </xf>
    <xf numFmtId="38" fontId="5" fillId="0" borderId="0" xfId="0" applyNumberFormat="1" applyFont="1" applyFill="1" applyAlignment="1">
      <alignment/>
    </xf>
    <xf numFmtId="6" fontId="5" fillId="0" borderId="0" xfId="0" applyNumberFormat="1" applyFont="1" applyAlignment="1">
      <alignment horizontal="center"/>
    </xf>
    <xf numFmtId="167" fontId="0" fillId="0" borderId="0" xfId="0" applyNumberFormat="1" applyAlignment="1">
      <alignment/>
    </xf>
    <xf numFmtId="10" fontId="5" fillId="0" borderId="0" xfId="0" applyNumberFormat="1" applyFont="1" applyAlignment="1">
      <alignment horizontal="center"/>
    </xf>
    <xf numFmtId="164" fontId="10" fillId="0" borderId="0" xfId="0" applyNumberFormat="1" applyFont="1" applyBorder="1" applyAlignment="1">
      <alignment horizontal="center" vertical="top"/>
    </xf>
    <xf numFmtId="164" fontId="10" fillId="0" borderId="11" xfId="0" applyNumberFormat="1" applyFont="1" applyBorder="1" applyAlignment="1">
      <alignment horizontal="center" vertical="top"/>
    </xf>
    <xf numFmtId="187" fontId="3" fillId="0" borderId="12" xfId="0" applyNumberFormat="1" applyFont="1" applyBorder="1" applyAlignment="1">
      <alignment/>
    </xf>
    <xf numFmtId="8" fontId="3" fillId="0" borderId="12" xfId="0" applyNumberFormat="1" applyFont="1" applyBorder="1" applyAlignment="1">
      <alignment/>
    </xf>
    <xf numFmtId="164" fontId="10" fillId="0" borderId="45" xfId="0" applyNumberFormat="1" applyFont="1" applyBorder="1" applyAlignment="1">
      <alignment horizontal="centerContinuous" vertical="top"/>
    </xf>
    <xf numFmtId="164" fontId="10" fillId="0" borderId="59" xfId="0" applyNumberFormat="1" applyFont="1" applyBorder="1" applyAlignment="1">
      <alignment horizontal="centerContinuous" vertical="top"/>
    </xf>
    <xf numFmtId="164" fontId="10" fillId="0" borderId="39" xfId="0" applyNumberFormat="1" applyFont="1" applyBorder="1" applyAlignment="1">
      <alignment horizontal="centerContinuous" vertical="top"/>
    </xf>
    <xf numFmtId="167" fontId="4" fillId="0" borderId="3" xfId="0" applyNumberFormat="1" applyFont="1" applyFill="1" applyBorder="1" applyAlignment="1">
      <alignment vertical="top" wrapText="1"/>
    </xf>
    <xf numFmtId="0" fontId="0" fillId="0" borderId="0" xfId="0" applyBorder="1" applyAlignment="1">
      <alignment horizontal="center"/>
    </xf>
    <xf numFmtId="0" fontId="4" fillId="0" borderId="0" xfId="0" applyFont="1" applyFill="1" applyBorder="1" applyAlignment="1">
      <alignment vertical="top"/>
    </xf>
    <xf numFmtId="0" fontId="4" fillId="0" borderId="0" xfId="0" applyFont="1" applyFill="1" applyBorder="1" applyAlignment="1">
      <alignment vertical="top" wrapText="1"/>
    </xf>
    <xf numFmtId="167" fontId="5" fillId="0" borderId="2" xfId="0" applyNumberFormat="1" applyFont="1" applyFill="1" applyBorder="1" applyAlignment="1">
      <alignment/>
    </xf>
    <xf numFmtId="0" fontId="24" fillId="0" borderId="39" xfId="30" applyBorder="1">
      <alignment/>
      <protection/>
    </xf>
    <xf numFmtId="0" fontId="25" fillId="0" borderId="45" xfId="30" applyFont="1" applyBorder="1" applyAlignment="1">
      <alignment horizontal="centerContinuous"/>
      <protection/>
    </xf>
    <xf numFmtId="0" fontId="25" fillId="0" borderId="39" xfId="30" applyFont="1" applyBorder="1" applyAlignment="1">
      <alignment horizontal="centerContinuous"/>
      <protection/>
    </xf>
    <xf numFmtId="0" fontId="9" fillId="0" borderId="0" xfId="0" applyFont="1" applyFill="1" applyAlignment="1">
      <alignment/>
    </xf>
    <xf numFmtId="0" fontId="6" fillId="0" borderId="0" xfId="0" applyFont="1" applyFill="1" applyAlignment="1">
      <alignment/>
    </xf>
    <xf numFmtId="0" fontId="0" fillId="0" borderId="45" xfId="0" applyBorder="1" applyAlignment="1">
      <alignment/>
    </xf>
    <xf numFmtId="6" fontId="4" fillId="0" borderId="0" xfId="0" applyNumberFormat="1" applyFont="1" applyFill="1" applyBorder="1" applyAlignment="1">
      <alignment/>
    </xf>
    <xf numFmtId="167" fontId="5" fillId="0" borderId="3" xfId="0" applyNumberFormat="1" applyFont="1" applyFill="1" applyBorder="1" applyAlignment="1">
      <alignment/>
    </xf>
    <xf numFmtId="38" fontId="5" fillId="0" borderId="2" xfId="0" applyNumberFormat="1" applyFont="1" applyFill="1" applyBorder="1" applyAlignment="1">
      <alignment/>
    </xf>
    <xf numFmtId="38" fontId="4" fillId="0" borderId="0" xfId="0" applyNumberFormat="1" applyFont="1" applyFill="1" applyBorder="1" applyAlignment="1">
      <alignment/>
    </xf>
    <xf numFmtId="6" fontId="5" fillId="0" borderId="64" xfId="0" applyNumberFormat="1" applyFont="1" applyFill="1" applyBorder="1" applyAlignment="1">
      <alignment/>
    </xf>
    <xf numFmtId="0" fontId="4" fillId="0" borderId="6" xfId="0" applyFont="1" applyFill="1" applyBorder="1" applyAlignment="1">
      <alignment horizontal="center"/>
    </xf>
    <xf numFmtId="0" fontId="4" fillId="0" borderId="11" xfId="0" applyFont="1" applyFill="1" applyBorder="1" applyAlignment="1">
      <alignment horizontal="center"/>
    </xf>
    <xf numFmtId="164" fontId="4" fillId="0" borderId="4" xfId="0" applyNumberFormat="1" applyFont="1" applyFill="1" applyBorder="1" applyAlignment="1">
      <alignment horizontal="center" vertical="center"/>
    </xf>
    <xf numFmtId="0" fontId="10" fillId="0" borderId="0" xfId="0" applyFont="1" applyFill="1" applyAlignment="1">
      <alignment horizontal="right"/>
    </xf>
    <xf numFmtId="0" fontId="4" fillId="0" borderId="0" xfId="0" applyFont="1" applyFill="1" applyAlignment="1">
      <alignment horizontal="centerContinuous"/>
    </xf>
    <xf numFmtId="0" fontId="5" fillId="0" borderId="0" xfId="0" applyFont="1" applyFill="1" applyAlignment="1">
      <alignment horizontal="centerContinuous"/>
    </xf>
    <xf numFmtId="6" fontId="4" fillId="0" borderId="6" xfId="0" applyNumberFormat="1" applyFont="1" applyFill="1" applyBorder="1" applyAlignment="1">
      <alignment horizontal="center" vertical="center"/>
    </xf>
    <xf numFmtId="6" fontId="5" fillId="0" borderId="0" xfId="0" applyNumberFormat="1" applyFont="1" applyFill="1" applyBorder="1" applyAlignment="1">
      <alignment horizontal="center"/>
    </xf>
    <xf numFmtId="6" fontId="4" fillId="0" borderId="4" xfId="0" applyNumberFormat="1" applyFont="1" applyFill="1" applyBorder="1" applyAlignment="1">
      <alignment horizontal="center" vertical="center"/>
    </xf>
    <xf numFmtId="167" fontId="3" fillId="0" borderId="0" xfId="0" applyNumberFormat="1" applyFont="1" applyFill="1" applyAlignment="1">
      <alignment/>
    </xf>
    <xf numFmtId="3" fontId="3" fillId="0" borderId="0" xfId="0" applyNumberFormat="1" applyFont="1" applyFill="1" applyAlignment="1">
      <alignment horizontal="right"/>
    </xf>
    <xf numFmtId="3" fontId="3" fillId="0" borderId="2" xfId="0" applyNumberFormat="1" applyFont="1" applyFill="1" applyBorder="1" applyAlignment="1">
      <alignment horizontal="right"/>
    </xf>
    <xf numFmtId="187" fontId="3" fillId="0" borderId="0" xfId="0" applyNumberFormat="1" applyFont="1" applyFill="1" applyAlignment="1">
      <alignment/>
    </xf>
    <xf numFmtId="38" fontId="3" fillId="0" borderId="0" xfId="0" applyNumberFormat="1" applyFont="1" applyFill="1" applyAlignment="1">
      <alignment/>
    </xf>
    <xf numFmtId="200" fontId="0" fillId="0" borderId="27" xfId="0" applyNumberFormat="1" applyBorder="1" applyAlignment="1">
      <alignment/>
    </xf>
    <xf numFmtId="0" fontId="0" fillId="7" borderId="0" xfId="0" applyFill="1" applyAlignment="1">
      <alignment/>
    </xf>
    <xf numFmtId="170" fontId="0" fillId="0" borderId="0" xfId="0" applyNumberFormat="1" applyFill="1" applyAlignment="1">
      <alignment/>
    </xf>
    <xf numFmtId="38" fontId="0" fillId="0" borderId="0" xfId="0" applyNumberFormat="1" applyFill="1" applyAlignment="1">
      <alignment/>
    </xf>
    <xf numFmtId="0" fontId="4" fillId="0" borderId="7" xfId="0" applyFont="1" applyFill="1" applyBorder="1" applyAlignment="1">
      <alignment/>
    </xf>
    <xf numFmtId="0" fontId="4" fillId="0" borderId="6" xfId="0" applyFont="1" applyFill="1" applyBorder="1" applyAlignment="1">
      <alignment/>
    </xf>
    <xf numFmtId="0" fontId="4" fillId="0" borderId="11" xfId="0" applyFont="1" applyFill="1" applyBorder="1" applyAlignment="1">
      <alignment/>
    </xf>
    <xf numFmtId="0" fontId="4" fillId="0" borderId="4" xfId="0" applyFont="1" applyFill="1" applyBorder="1" applyAlignment="1">
      <alignment/>
    </xf>
    <xf numFmtId="6" fontId="0" fillId="0" borderId="0" xfId="0" applyNumberFormat="1" applyFill="1" applyAlignment="1">
      <alignment/>
    </xf>
    <xf numFmtId="5" fontId="0" fillId="0" borderId="0" xfId="0" applyNumberFormat="1" applyAlignment="1">
      <alignment/>
    </xf>
    <xf numFmtId="7" fontId="0" fillId="0" borderId="0" xfId="0" applyNumberFormat="1" applyAlignment="1">
      <alignment/>
    </xf>
    <xf numFmtId="167" fontId="0" fillId="0" borderId="0" xfId="0" applyNumberFormat="1" applyFill="1" applyAlignment="1">
      <alignment/>
    </xf>
    <xf numFmtId="0" fontId="0" fillId="0" borderId="0" xfId="0" applyFill="1" applyAlignment="1">
      <alignment horizontal="center"/>
    </xf>
    <xf numFmtId="0" fontId="5" fillId="0" borderId="0" xfId="0" applyNumberFormat="1" applyFont="1" applyFill="1" applyAlignment="1">
      <alignment/>
    </xf>
    <xf numFmtId="6" fontId="4" fillId="0" borderId="0" xfId="0" applyNumberFormat="1" applyFont="1" applyBorder="1" applyAlignment="1">
      <alignment horizontal="center" vertical="center"/>
    </xf>
    <xf numFmtId="6" fontId="4" fillId="0" borderId="0" xfId="0" applyNumberFormat="1" applyFont="1" applyFill="1" applyBorder="1" applyAlignment="1">
      <alignment/>
    </xf>
    <xf numFmtId="6" fontId="5" fillId="0" borderId="6" xfId="0" applyNumberFormat="1" applyFont="1" applyBorder="1" applyAlignment="1">
      <alignment/>
    </xf>
    <xf numFmtId="6" fontId="4" fillId="0" borderId="4" xfId="0" applyNumberFormat="1" applyFont="1" applyBorder="1" applyAlignment="1">
      <alignment horizontal="center"/>
    </xf>
    <xf numFmtId="0" fontId="11" fillId="0" borderId="27" xfId="0" applyFont="1" applyBorder="1" applyAlignment="1">
      <alignment/>
    </xf>
    <xf numFmtId="0" fontId="0" fillId="0" borderId="9" xfId="0" applyBorder="1" applyAlignment="1">
      <alignment/>
    </xf>
    <xf numFmtId="2" fontId="0" fillId="0" borderId="58" xfId="0" applyNumberFormat="1" applyBorder="1" applyAlignment="1">
      <alignment/>
    </xf>
    <xf numFmtId="39" fontId="0" fillId="0" borderId="8" xfId="0" applyNumberFormat="1" applyBorder="1" applyAlignment="1">
      <alignment/>
    </xf>
    <xf numFmtId="39" fontId="0" fillId="0" borderId="5" xfId="0" applyNumberFormat="1" applyBorder="1" applyAlignment="1">
      <alignment/>
    </xf>
    <xf numFmtId="2" fontId="11" fillId="5" borderId="7" xfId="0" applyNumberFormat="1" applyFont="1" applyFill="1" applyBorder="1" applyAlignment="1">
      <alignment/>
    </xf>
    <xf numFmtId="191" fontId="0" fillId="0" borderId="0" xfId="0" applyNumberFormat="1" applyFill="1" applyAlignment="1">
      <alignment/>
    </xf>
    <xf numFmtId="4" fontId="0" fillId="0" borderId="27" xfId="0" applyNumberFormat="1" applyBorder="1" applyAlignment="1">
      <alignment/>
    </xf>
    <xf numFmtId="172" fontId="0" fillId="0" borderId="58" xfId="0" applyNumberFormat="1" applyBorder="1" applyAlignment="1">
      <alignment/>
    </xf>
    <xf numFmtId="176" fontId="0" fillId="0" borderId="0" xfId="0" applyNumberFormat="1" applyAlignment="1">
      <alignment/>
    </xf>
    <xf numFmtId="0" fontId="39" fillId="0" borderId="0" xfId="30" applyFont="1">
      <alignment/>
      <protection/>
    </xf>
    <xf numFmtId="0" fontId="40" fillId="0" borderId="0" xfId="30" applyFont="1">
      <alignment/>
      <protection/>
    </xf>
    <xf numFmtId="37" fontId="24" fillId="0" borderId="0" xfId="30" applyNumberFormat="1" applyFont="1" applyFill="1">
      <alignment/>
      <protection/>
    </xf>
    <xf numFmtId="37" fontId="40" fillId="0" borderId="0" xfId="30" applyNumberFormat="1" applyFont="1">
      <alignment/>
      <protection/>
    </xf>
    <xf numFmtId="0" fontId="25" fillId="0" borderId="0" xfId="30" applyFont="1" applyAlignment="1">
      <alignment horizontal="center"/>
      <protection/>
    </xf>
    <xf numFmtId="0" fontId="25" fillId="0" borderId="2" xfId="30" applyFont="1" applyBorder="1" applyAlignment="1">
      <alignment horizontal="center"/>
      <protection/>
    </xf>
    <xf numFmtId="0" fontId="24" fillId="0" borderId="65" xfId="30" applyBorder="1">
      <alignment/>
      <protection/>
    </xf>
    <xf numFmtId="0" fontId="24" fillId="0" borderId="28" xfId="30" applyBorder="1">
      <alignment/>
      <protection/>
    </xf>
    <xf numFmtId="0" fontId="24" fillId="0" borderId="57" xfId="30" applyBorder="1">
      <alignment/>
      <protection/>
    </xf>
    <xf numFmtId="0" fontId="24" fillId="0" borderId="33" xfId="30" applyBorder="1">
      <alignment/>
      <protection/>
    </xf>
    <xf numFmtId="0" fontId="41" fillId="0" borderId="0" xfId="30" applyFont="1" applyBorder="1">
      <alignment/>
      <protection/>
    </xf>
    <xf numFmtId="0" fontId="41" fillId="0" borderId="43" xfId="30" applyFont="1" applyBorder="1" applyAlignment="1">
      <alignment horizontal="center"/>
      <protection/>
    </xf>
    <xf numFmtId="0" fontId="24" fillId="0" borderId="43" xfId="30" applyBorder="1">
      <alignment/>
      <protection/>
    </xf>
    <xf numFmtId="0" fontId="24" fillId="0" borderId="30" xfId="30" applyBorder="1">
      <alignment/>
      <protection/>
    </xf>
    <xf numFmtId="0" fontId="24" fillId="0" borderId="38" xfId="30" applyBorder="1">
      <alignment/>
      <protection/>
    </xf>
    <xf numFmtId="0" fontId="4" fillId="0" borderId="0" xfId="0" applyFont="1" applyFill="1" applyBorder="1" applyAlignment="1">
      <alignment/>
    </xf>
    <xf numFmtId="6" fontId="5" fillId="0" borderId="12" xfId="0" applyNumberFormat="1" applyFont="1" applyBorder="1" applyAlignment="1">
      <alignment/>
    </xf>
    <xf numFmtId="170" fontId="0" fillId="0" borderId="0" xfId="0" applyNumberFormat="1" applyAlignment="1">
      <alignment/>
    </xf>
    <xf numFmtId="6" fontId="0" fillId="0" borderId="12" xfId="0" applyNumberFormat="1" applyBorder="1" applyAlignment="1">
      <alignment/>
    </xf>
    <xf numFmtId="202" fontId="11" fillId="0" borderId="0" xfId="0" applyNumberFormat="1" applyFont="1" applyAlignment="1">
      <alignment/>
    </xf>
    <xf numFmtId="202" fontId="42" fillId="0" borderId="0" xfId="0" applyNumberFormat="1" applyFont="1" applyAlignment="1">
      <alignment/>
    </xf>
    <xf numFmtId="0" fontId="27" fillId="0" borderId="0" xfId="0" applyFont="1" applyAlignment="1">
      <alignment horizontal="center"/>
    </xf>
    <xf numFmtId="0" fontId="4" fillId="0" borderId="12" xfId="0" applyFont="1" applyBorder="1" applyAlignment="1">
      <alignment horizontal="center" vertical="top"/>
    </xf>
    <xf numFmtId="10" fontId="4" fillId="0" borderId="0" xfId="0" applyNumberFormat="1" applyFont="1" applyBorder="1" applyAlignment="1">
      <alignment/>
    </xf>
    <xf numFmtId="6" fontId="4" fillId="0" borderId="12" xfId="0" applyNumberFormat="1" applyFont="1" applyBorder="1" applyAlignment="1">
      <alignment horizontal="center" vertical="top"/>
    </xf>
    <xf numFmtId="10" fontId="5" fillId="0" borderId="3" xfId="0" applyNumberFormat="1" applyFont="1" applyBorder="1" applyAlignment="1">
      <alignment horizontal="center"/>
    </xf>
    <xf numFmtId="0" fontId="25" fillId="0" borderId="0" xfId="30" applyFont="1">
      <alignment/>
      <protection/>
    </xf>
    <xf numFmtId="37" fontId="25" fillId="0" borderId="0" xfId="30" applyNumberFormat="1" applyFont="1">
      <alignment/>
      <protection/>
    </xf>
    <xf numFmtId="187" fontId="25" fillId="0" borderId="0" xfId="30" applyNumberFormat="1" applyFont="1">
      <alignment/>
      <protection/>
    </xf>
    <xf numFmtId="8" fontId="25" fillId="0" borderId="0" xfId="30" applyNumberFormat="1" applyFont="1">
      <alignment/>
      <protection/>
    </xf>
    <xf numFmtId="0" fontId="43" fillId="0" borderId="0" xfId="30" applyFont="1">
      <alignment/>
      <protection/>
    </xf>
    <xf numFmtId="0" fontId="43" fillId="0" borderId="0" xfId="30" applyFont="1" applyAlignment="1">
      <alignment horizontal="right"/>
      <protection/>
    </xf>
    <xf numFmtId="10" fontId="5" fillId="0" borderId="0" xfId="0" applyNumberFormat="1" applyFont="1" applyBorder="1" applyAlignment="1">
      <alignment horizontal="center"/>
    </xf>
    <xf numFmtId="0" fontId="11" fillId="0" borderId="51" xfId="0" applyFont="1" applyBorder="1" applyAlignment="1">
      <alignment horizontal="center"/>
    </xf>
    <xf numFmtId="0" fontId="45" fillId="0" borderId="0" xfId="0" applyFont="1" applyFill="1" applyBorder="1" applyAlignment="1" applyProtection="1">
      <alignment horizontal="center" vertical="center"/>
      <protection/>
    </xf>
    <xf numFmtId="0" fontId="46" fillId="0" borderId="12" xfId="0" applyFont="1" applyFill="1" applyBorder="1" applyAlignment="1" applyProtection="1">
      <alignment horizontal="center" wrapText="1"/>
      <protection/>
    </xf>
    <xf numFmtId="0" fontId="47" fillId="0" borderId="0" xfId="29" applyFont="1" applyFill="1" applyAlignment="1" applyProtection="1">
      <alignment horizontal="center"/>
      <protection/>
    </xf>
    <xf numFmtId="0" fontId="49" fillId="0" borderId="0" xfId="0" applyFont="1" applyFill="1" applyAlignment="1" applyProtection="1">
      <alignment/>
      <protection/>
    </xf>
    <xf numFmtId="0" fontId="49" fillId="0" borderId="0" xfId="0" applyFont="1" applyFill="1" applyAlignment="1" applyProtection="1">
      <alignment horizontal="center"/>
      <protection/>
    </xf>
    <xf numFmtId="3" fontId="49" fillId="0" borderId="0" xfId="0" applyNumberFormat="1" applyFont="1" applyFill="1" applyAlignment="1" applyProtection="1">
      <alignment/>
      <protection/>
    </xf>
    <xf numFmtId="0" fontId="2" fillId="0" borderId="0" xfId="26" applyFill="1" applyAlignment="1" applyProtection="1">
      <alignment horizontal="center"/>
      <protection/>
    </xf>
    <xf numFmtId="0" fontId="44" fillId="0" borderId="0" xfId="0" applyFont="1" applyFill="1" applyAlignment="1" applyProtection="1">
      <alignment horizontal="center"/>
      <protection/>
    </xf>
    <xf numFmtId="0" fontId="45" fillId="0" borderId="0" xfId="0" applyFont="1" applyFill="1" applyBorder="1" applyAlignment="1" applyProtection="1">
      <alignment horizontal="center" vertical="center"/>
      <protection/>
    </xf>
    <xf numFmtId="0" fontId="11" fillId="0" borderId="12" xfId="0" applyFont="1" applyBorder="1" applyAlignment="1">
      <alignment horizontal="center"/>
    </xf>
    <xf numFmtId="0" fontId="4" fillId="0" borderId="12" xfId="0" applyFont="1" applyBorder="1" applyAlignment="1">
      <alignment horizontal="center" vertical="top"/>
    </xf>
    <xf numFmtId="0" fontId="11" fillId="0" borderId="22" xfId="0" applyFont="1" applyBorder="1" applyAlignment="1">
      <alignment horizontal="center"/>
    </xf>
    <xf numFmtId="0" fontId="11" fillId="0" borderId="14" xfId="0" applyFont="1" applyBorder="1" applyAlignment="1">
      <alignment horizontal="center"/>
    </xf>
    <xf numFmtId="6" fontId="4" fillId="0" borderId="22" xfId="0" applyNumberFormat="1" applyFont="1" applyBorder="1" applyAlignment="1">
      <alignment horizontal="center" vertical="center"/>
    </xf>
    <xf numFmtId="6" fontId="4" fillId="0" borderId="14" xfId="0" applyNumberFormat="1" applyFont="1" applyBorder="1" applyAlignment="1">
      <alignment horizontal="center" vertical="center"/>
    </xf>
    <xf numFmtId="6" fontId="4" fillId="0" borderId="51" xfId="0" applyNumberFormat="1" applyFont="1" applyBorder="1" applyAlignment="1">
      <alignment horizontal="center" vertical="center"/>
    </xf>
    <xf numFmtId="0" fontId="4"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xf>
    <xf numFmtId="0" fontId="4" fillId="0" borderId="0" xfId="0" applyFont="1" applyAlignment="1">
      <alignment horizontal="center" vertical="center"/>
    </xf>
    <xf numFmtId="0" fontId="0" fillId="0" borderId="0" xfId="0" applyAlignment="1">
      <alignment/>
    </xf>
    <xf numFmtId="164" fontId="4" fillId="0" borderId="0" xfId="0" applyNumberFormat="1" applyFont="1" applyAlignment="1">
      <alignment horizontal="center" vertical="top"/>
    </xf>
    <xf numFmtId="0" fontId="4" fillId="0" borderId="12" xfId="0" applyFont="1" applyBorder="1" applyAlignment="1">
      <alignment horizontal="center"/>
    </xf>
    <xf numFmtId="0" fontId="4" fillId="0" borderId="37" xfId="0" applyFont="1" applyBorder="1" applyAlignment="1">
      <alignment horizontal="center"/>
    </xf>
    <xf numFmtId="0" fontId="5" fillId="0" borderId="37"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25" fillId="0" borderId="12" xfId="30" applyFont="1" applyBorder="1" applyAlignment="1">
      <alignment horizontal="center"/>
      <protection/>
    </xf>
    <xf numFmtId="0" fontId="4" fillId="0" borderId="45" xfId="0" applyFont="1" applyBorder="1" applyAlignment="1">
      <alignment horizontal="center"/>
    </xf>
    <xf numFmtId="0" fontId="0" fillId="0" borderId="59" xfId="0" applyBorder="1" applyAlignment="1">
      <alignment horizontal="center"/>
    </xf>
    <xf numFmtId="0" fontId="0" fillId="0" borderId="39" xfId="0" applyBorder="1" applyAlignment="1">
      <alignment horizontal="center"/>
    </xf>
    <xf numFmtId="0" fontId="4" fillId="0" borderId="66" xfId="27" applyFont="1" applyFill="1" applyBorder="1" applyAlignment="1">
      <alignment horizontal="center"/>
    </xf>
    <xf numFmtId="0" fontId="4" fillId="0" borderId="67" xfId="27" applyFont="1" applyFill="1" applyBorder="1" applyAlignment="1">
      <alignment horizontal="center"/>
    </xf>
    <xf numFmtId="0" fontId="16" fillId="0" borderId="14" xfId="27" applyFont="1" applyFill="1" applyBorder="1" applyAlignment="1">
      <alignment horizontal="center"/>
    </xf>
    <xf numFmtId="0" fontId="16" fillId="0" borderId="51" xfId="27" applyFont="1" applyFill="1" applyBorder="1" applyAlignment="1">
      <alignment horizontal="center"/>
    </xf>
    <xf numFmtId="0" fontId="16" fillId="0" borderId="28" xfId="27" applyFont="1" applyFill="1" applyBorder="1" applyAlignment="1">
      <alignment horizontal="center"/>
    </xf>
    <xf numFmtId="0" fontId="16" fillId="0" borderId="57" xfId="27" applyFont="1" applyFill="1" applyBorder="1" applyAlignment="1">
      <alignment horizontal="center"/>
    </xf>
    <xf numFmtId="0" fontId="16" fillId="0" borderId="12" xfId="27" applyFont="1" applyFill="1" applyBorder="1" applyAlignment="1">
      <alignment horizontal="center"/>
    </xf>
    <xf numFmtId="0" fontId="16" fillId="0" borderId="38" xfId="27" applyFont="1" applyFill="1" applyBorder="1" applyAlignment="1">
      <alignment horizontal="center"/>
    </xf>
    <xf numFmtId="0" fontId="0" fillId="0" borderId="22" xfId="0" applyBorder="1" applyAlignment="1">
      <alignment horizontal="center"/>
    </xf>
    <xf numFmtId="0" fontId="0" fillId="0" borderId="14" xfId="0" applyBorder="1" applyAlignment="1">
      <alignment horizontal="center"/>
    </xf>
    <xf numFmtId="0" fontId="0" fillId="0" borderId="51" xfId="0" applyBorder="1" applyAlignment="1">
      <alignment horizontal="center"/>
    </xf>
    <xf numFmtId="0" fontId="38" fillId="0" borderId="0" xfId="0" applyFont="1" applyAlignment="1">
      <alignment wrapText="1"/>
    </xf>
    <xf numFmtId="0" fontId="0" fillId="0" borderId="0" xfId="0" applyAlignment="1">
      <alignment wrapText="1"/>
    </xf>
    <xf numFmtId="164" fontId="10" fillId="0" borderId="2" xfId="0" applyNumberFormat="1" applyFont="1" applyBorder="1" applyAlignment="1">
      <alignment horizontal="centerContinuous" vertical="top"/>
    </xf>
  </cellXfs>
  <cellStyles count="21">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06-Distribution Annual Report" xfId="27"/>
    <cellStyle name="normal_18 (2)" xfId="28"/>
    <cellStyle name="Normal_CARD_Mid-Tex_SOI_Final" xfId="29"/>
    <cellStyle name="Normal_Jan-Jun 06 Cost Allocation Adj" xfId="30"/>
    <cellStyle name="Normal_Proposed 04 Transmission Annual Report" xfId="31"/>
    <cellStyle name="Normal_SummaryRevSplitDetail_MM121203" xfId="32"/>
    <cellStyle name="Percent" xfId="33"/>
    <cellStyle name="Total" xfId="3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4616\002\Model\Rate%20Filing%20Adjust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on-Domestic South"/>
      <sheetName val="Non-Domestic North"/>
      <sheetName val="Domestic South"/>
      <sheetName val="Domestic North"/>
      <sheetName val="Non-Domestic Bills"/>
      <sheetName val="Domestic Bills"/>
      <sheetName val="Customer Table"/>
      <sheetName val="Location Table"/>
      <sheetName val="Rate Table"/>
      <sheetName val="Base COG Table"/>
      <sheetName val="Units Table"/>
      <sheetName val="Meters WP"/>
      <sheetName val="Billing Proof WP1"/>
      <sheetName val="Billing Proof WP2"/>
      <sheetName val="Billing Proof WP3"/>
      <sheetName val="Billing Proof WP4"/>
      <sheetName val="Schedule A Review"/>
      <sheetName val="WP Sch B"/>
      <sheetName val="WP1 Sch B"/>
      <sheetName val="WP2 Sch B"/>
      <sheetName val="WP3 Sch B"/>
      <sheetName val="WP Sch B-1"/>
      <sheetName val="WP Sch B-2"/>
      <sheetName val="WP4 Sch B"/>
      <sheetName val="Schedule C WP1"/>
      <sheetName val="WP C-2-1 Pay"/>
      <sheetName val="WP C-2-2 Med"/>
      <sheetName val="WP C-2-3 Pen"/>
      <sheetName val="WP C-2-4 Adv"/>
      <sheetName val="WP C-2-5 Cust"/>
      <sheetName val="WP C-2-6 Pipe"/>
      <sheetName val="WP C-2-7 Depr"/>
      <sheetName val="WP C-2-8 Taxes"/>
      <sheetName val="Franchise Tax WP"/>
      <sheetName val="Pay WP1"/>
      <sheetName val="Pay WP2"/>
      <sheetName val="Pay WP3"/>
      <sheetName val="Pay WP4"/>
      <sheetName val="WP D-2"/>
      <sheetName val="WP2-D1"/>
      <sheetName val="WP1-D1"/>
      <sheetName val="WP D-1"/>
      <sheetName val="Original P&amp;L WP"/>
      <sheetName val="BM4-3"/>
    </sheetNames>
    <sheetDataSet>
      <sheetData sheetId="21">
        <row r="1">
          <cell r="A1" t="str">
            <v>WEST TEXAS GAS, INC.</v>
          </cell>
          <cell r="I1" t="str">
            <v>WP3 SCH B</v>
          </cell>
        </row>
        <row r="2">
          <cell r="A2" t="str">
            <v>AMORTIZATION OF C-I-A-C</v>
          </cell>
        </row>
        <row r="3">
          <cell r="A3" t="str">
            <v>SEPTEMBER, 2003</v>
          </cell>
        </row>
        <row r="5">
          <cell r="C5" t="str">
            <v>RECEIPT</v>
          </cell>
          <cell r="D5" t="str">
            <v>MONTHS</v>
          </cell>
          <cell r="E5" t="str">
            <v>BEGINNING</v>
          </cell>
          <cell r="F5" t="str">
            <v>ACCUM.</v>
          </cell>
          <cell r="G5" t="str">
            <v>CURRENT</v>
          </cell>
          <cell r="H5" t="str">
            <v>ACCUM.</v>
          </cell>
          <cell r="I5" t="str">
            <v>NET</v>
          </cell>
        </row>
        <row r="6">
          <cell r="A6" t="str">
            <v>CUSTOMER</v>
          </cell>
          <cell r="B6" t="str">
            <v>DISTRICT</v>
          </cell>
          <cell r="C6" t="str">
            <v>DATE</v>
          </cell>
          <cell r="D6" t="str">
            <v>AMORT.</v>
          </cell>
          <cell r="E6" t="str">
            <v>BALANCE</v>
          </cell>
          <cell r="F6" t="str">
            <v>AMORT.</v>
          </cell>
          <cell r="G6" t="str">
            <v>AMORT.</v>
          </cell>
          <cell r="H6" t="str">
            <v>AMORT.</v>
          </cell>
          <cell r="I6" t="str">
            <v>BALANCE</v>
          </cell>
        </row>
        <row r="7">
          <cell r="A7" t="str">
            <v>-</v>
          </cell>
          <cell r="B7" t="str">
            <v>-</v>
          </cell>
          <cell r="C7" t="str">
            <v>-</v>
          </cell>
          <cell r="D7" t="str">
            <v>-</v>
          </cell>
          <cell r="E7" t="str">
            <v>-</v>
          </cell>
          <cell r="F7" t="str">
            <v>-</v>
          </cell>
          <cell r="G7" t="str">
            <v>-</v>
          </cell>
          <cell r="H7" t="str">
            <v>-</v>
          </cell>
          <cell r="I7" t="str">
            <v>-</v>
          </cell>
        </row>
        <row r="8">
          <cell r="A8" t="str">
            <v>WTG GAS MARKETING</v>
          </cell>
          <cell r="B8" t="str">
            <v>HOME OFFICE</v>
          </cell>
          <cell r="C8" t="str">
            <v>2/01</v>
          </cell>
          <cell r="D8">
            <v>240</v>
          </cell>
          <cell r="E8">
            <v>7092.46</v>
          </cell>
          <cell r="F8">
            <v>-916.05</v>
          </cell>
          <cell r="G8">
            <v>-29.55</v>
          </cell>
          <cell r="H8">
            <v>-945.5999999999999</v>
          </cell>
          <cell r="I8">
            <v>6146.860000000001</v>
          </cell>
        </row>
        <row r="9">
          <cell r="E9" t="str">
            <v>-</v>
          </cell>
          <cell r="F9" t="str">
            <v>-</v>
          </cell>
          <cell r="G9" t="str">
            <v>-</v>
          </cell>
          <cell r="H9" t="str">
            <v>-</v>
          </cell>
          <cell r="I9" t="str">
            <v>-</v>
          </cell>
        </row>
        <row r="10">
          <cell r="A10" t="str">
            <v>     SUBTOTALS</v>
          </cell>
          <cell r="B10" t="str">
            <v>HOME OFFICE</v>
          </cell>
          <cell r="E10">
            <v>7092.46</v>
          </cell>
          <cell r="F10">
            <v>-916.05</v>
          </cell>
          <cell r="G10">
            <v>-29.55</v>
          </cell>
          <cell r="H10">
            <v>-945.5999999999999</v>
          </cell>
          <cell r="I10">
            <v>6146.860000000001</v>
          </cell>
        </row>
        <row r="11">
          <cell r="E11" t="str">
            <v>-</v>
          </cell>
          <cell r="F11" t="str">
            <v>-</v>
          </cell>
          <cell r="G11" t="str">
            <v>-</v>
          </cell>
          <cell r="H11" t="str">
            <v>-</v>
          </cell>
          <cell r="I11" t="str">
            <v>-</v>
          </cell>
        </row>
        <row r="13">
          <cell r="A13" t="str">
            <v>WILLIAMS RANCH</v>
          </cell>
          <cell r="B13" t="str">
            <v>FT. STOCKTON</v>
          </cell>
          <cell r="C13" t="str">
            <v>3/99</v>
          </cell>
          <cell r="D13">
            <v>240</v>
          </cell>
          <cell r="E13">
            <v>3944.66</v>
          </cell>
          <cell r="F13">
            <v>-887.76</v>
          </cell>
          <cell r="G13">
            <v>-16.44</v>
          </cell>
          <cell r="H13">
            <v>-904.2</v>
          </cell>
          <cell r="I13">
            <v>3040.46</v>
          </cell>
        </row>
        <row r="14">
          <cell r="A14" t="str">
            <v>WILLIAMS RANCH</v>
          </cell>
          <cell r="B14" t="str">
            <v>FT. STOCKTON</v>
          </cell>
          <cell r="C14" t="str">
            <v>3/99</v>
          </cell>
          <cell r="D14">
            <v>240</v>
          </cell>
          <cell r="E14">
            <v>3084.87</v>
          </cell>
          <cell r="F14">
            <v>-693.9</v>
          </cell>
          <cell r="G14">
            <v>-12.85</v>
          </cell>
          <cell r="H14">
            <v>-706.75</v>
          </cell>
          <cell r="I14">
            <v>2378.12</v>
          </cell>
        </row>
        <row r="15">
          <cell r="A15" t="str">
            <v>CARAMBA FARMS</v>
          </cell>
          <cell r="B15" t="str">
            <v>FT. STOCKTON</v>
          </cell>
          <cell r="C15" t="str">
            <v>3/99</v>
          </cell>
          <cell r="D15">
            <v>240</v>
          </cell>
          <cell r="E15">
            <v>1428.85</v>
          </cell>
          <cell r="F15">
            <v>-321.3</v>
          </cell>
          <cell r="G15">
            <v>-5.95</v>
          </cell>
          <cell r="H15">
            <v>-327.25</v>
          </cell>
          <cell r="I15">
            <v>1101.6</v>
          </cell>
        </row>
        <row r="16">
          <cell r="A16" t="str">
            <v>CARAMBA FARMS</v>
          </cell>
          <cell r="B16" t="str">
            <v>FT. STOCKTON</v>
          </cell>
          <cell r="C16" t="str">
            <v>3/99</v>
          </cell>
          <cell r="D16">
            <v>240</v>
          </cell>
          <cell r="E16">
            <v>2938.24</v>
          </cell>
          <cell r="F16">
            <v>-660.96</v>
          </cell>
          <cell r="G16">
            <v>-12.24</v>
          </cell>
          <cell r="H16">
            <v>-673.2</v>
          </cell>
          <cell r="I16">
            <v>2265.04</v>
          </cell>
        </row>
        <row r="17">
          <cell r="A17" t="str">
            <v>SWTMG</v>
          </cell>
          <cell r="B17" t="str">
            <v>FT. STOCKTON</v>
          </cell>
          <cell r="C17" t="str">
            <v>5/01</v>
          </cell>
          <cell r="D17">
            <v>240</v>
          </cell>
          <cell r="E17">
            <v>8284.45</v>
          </cell>
          <cell r="F17">
            <v>-966.56</v>
          </cell>
          <cell r="G17">
            <v>-34.52</v>
          </cell>
          <cell r="H17">
            <v>-1001.0799999999999</v>
          </cell>
          <cell r="I17">
            <v>7283.370000000001</v>
          </cell>
        </row>
        <row r="18">
          <cell r="A18" t="str">
            <v>KESEY FARMS</v>
          </cell>
          <cell r="B18" t="str">
            <v>FT. STOCKTON</v>
          </cell>
          <cell r="C18" t="str">
            <v>5/01</v>
          </cell>
          <cell r="D18">
            <v>240</v>
          </cell>
          <cell r="E18">
            <v>3500</v>
          </cell>
          <cell r="F18">
            <v>-408.24</v>
          </cell>
          <cell r="G18">
            <v>-14.58</v>
          </cell>
          <cell r="H18">
            <v>-422.82</v>
          </cell>
          <cell r="I18">
            <v>3077.18</v>
          </cell>
        </row>
        <row r="19">
          <cell r="E19" t="str">
            <v>-</v>
          </cell>
          <cell r="F19" t="str">
            <v>-</v>
          </cell>
          <cell r="G19" t="str">
            <v>-</v>
          </cell>
          <cell r="H19" t="str">
            <v>-</v>
          </cell>
          <cell r="I19" t="str">
            <v>-</v>
          </cell>
        </row>
        <row r="20">
          <cell r="A20" t="str">
            <v>     SUBTOTALS</v>
          </cell>
          <cell r="B20" t="str">
            <v>FT. STOCKTON</v>
          </cell>
          <cell r="E20">
            <v>23181.07</v>
          </cell>
          <cell r="F20">
            <v>-3938.7200000000003</v>
          </cell>
          <cell r="G20">
            <v>-96.58</v>
          </cell>
          <cell r="H20">
            <v>-4035.3</v>
          </cell>
          <cell r="I20">
            <v>19145.77</v>
          </cell>
        </row>
        <row r="21">
          <cell r="E21" t="str">
            <v>-</v>
          </cell>
          <cell r="F21" t="str">
            <v>-</v>
          </cell>
          <cell r="G21" t="str">
            <v>-</v>
          </cell>
          <cell r="H21" t="str">
            <v>-</v>
          </cell>
          <cell r="I21" t="str">
            <v>-</v>
          </cell>
        </row>
        <row r="23">
          <cell r="A23" t="str">
            <v>KING MESA GIN</v>
          </cell>
          <cell r="B23" t="str">
            <v>SEMINOLE</v>
          </cell>
          <cell r="C23" t="str">
            <v>6/97</v>
          </cell>
          <cell r="D23">
            <v>240</v>
          </cell>
          <cell r="E23">
            <v>36000</v>
          </cell>
          <cell r="F23">
            <v>-11250</v>
          </cell>
          <cell r="G23">
            <v>-150</v>
          </cell>
          <cell r="H23">
            <v>-11400</v>
          </cell>
          <cell r="I23">
            <v>24600</v>
          </cell>
        </row>
        <row r="24">
          <cell r="A24" t="str">
            <v>GERALD SMITH</v>
          </cell>
          <cell r="B24" t="str">
            <v>SEMINOLE</v>
          </cell>
          <cell r="C24" t="str">
            <v>6/97</v>
          </cell>
          <cell r="D24">
            <v>240</v>
          </cell>
          <cell r="E24">
            <v>24000</v>
          </cell>
          <cell r="F24">
            <v>-7500</v>
          </cell>
          <cell r="G24">
            <v>-100</v>
          </cell>
          <cell r="H24">
            <v>-7600</v>
          </cell>
          <cell r="I24">
            <v>16400</v>
          </cell>
        </row>
        <row r="25">
          <cell r="A25" t="str">
            <v>ROSS HILBURN</v>
          </cell>
          <cell r="B25" t="str">
            <v>SEMINOLE</v>
          </cell>
          <cell r="C25" t="str">
            <v>6/97</v>
          </cell>
          <cell r="D25">
            <v>240</v>
          </cell>
          <cell r="E25">
            <v>4000</v>
          </cell>
          <cell r="F25">
            <v>-1250.25</v>
          </cell>
          <cell r="G25">
            <v>-16.67</v>
          </cell>
          <cell r="H25">
            <v>-1266.92</v>
          </cell>
          <cell r="I25">
            <v>2733.08</v>
          </cell>
        </row>
        <row r="26">
          <cell r="A26" t="str">
            <v>ROSS HILBURN</v>
          </cell>
          <cell r="B26" t="str">
            <v>SEMINOLE</v>
          </cell>
          <cell r="C26" t="str">
            <v>6/97</v>
          </cell>
          <cell r="D26">
            <v>240</v>
          </cell>
          <cell r="E26">
            <v>15000</v>
          </cell>
          <cell r="F26">
            <v>-4687.5</v>
          </cell>
          <cell r="G26">
            <v>-62.5</v>
          </cell>
          <cell r="H26">
            <v>-4750</v>
          </cell>
          <cell r="I26">
            <v>10250</v>
          </cell>
        </row>
        <row r="27">
          <cell r="A27" t="str">
            <v>UNITED GIN</v>
          </cell>
          <cell r="B27" t="str">
            <v>SEMINOLE</v>
          </cell>
          <cell r="C27" t="str">
            <v>6/97</v>
          </cell>
          <cell r="D27">
            <v>240</v>
          </cell>
          <cell r="E27">
            <v>33000</v>
          </cell>
          <cell r="F27">
            <v>-10312.5</v>
          </cell>
          <cell r="G27">
            <v>-137.5</v>
          </cell>
          <cell r="H27">
            <v>-10450</v>
          </cell>
          <cell r="I27">
            <v>22550</v>
          </cell>
        </row>
        <row r="28">
          <cell r="A28" t="str">
            <v>NEW HOME GIN</v>
          </cell>
          <cell r="B28" t="str">
            <v>SEMINOLE</v>
          </cell>
          <cell r="C28" t="str">
            <v>6/97</v>
          </cell>
          <cell r="D28">
            <v>240</v>
          </cell>
          <cell r="E28">
            <v>32250</v>
          </cell>
          <cell r="F28">
            <v>-10078.5</v>
          </cell>
          <cell r="G28">
            <v>-134.38</v>
          </cell>
          <cell r="H28">
            <v>-10212.88</v>
          </cell>
          <cell r="I28">
            <v>22037.120000000003</v>
          </cell>
        </row>
        <row r="29">
          <cell r="A29" t="str">
            <v>NITROTEC</v>
          </cell>
          <cell r="B29" t="str">
            <v>SEMINOLE</v>
          </cell>
          <cell r="C29" t="str">
            <v>8/97</v>
          </cell>
          <cell r="D29">
            <v>240</v>
          </cell>
          <cell r="E29">
            <v>8270</v>
          </cell>
          <cell r="F29">
            <v>-2515.58</v>
          </cell>
          <cell r="G29">
            <v>-34.46</v>
          </cell>
          <cell r="H29">
            <v>-2550.04</v>
          </cell>
          <cell r="I29">
            <v>5719.96</v>
          </cell>
        </row>
        <row r="30">
          <cell r="A30" t="str">
            <v>DON LANGSTON</v>
          </cell>
          <cell r="B30" t="str">
            <v>SEMINOLE</v>
          </cell>
          <cell r="C30" t="str">
            <v>5/99</v>
          </cell>
          <cell r="D30">
            <v>240</v>
          </cell>
          <cell r="E30">
            <v>1233.03</v>
          </cell>
          <cell r="F30">
            <v>-267.28</v>
          </cell>
          <cell r="G30">
            <v>-5.14</v>
          </cell>
          <cell r="H30">
            <v>-272.41999999999996</v>
          </cell>
          <cell r="I30">
            <v>960.61</v>
          </cell>
        </row>
        <row r="31">
          <cell r="A31" t="str">
            <v>SCOTT HAMM</v>
          </cell>
          <cell r="B31" t="str">
            <v>SEMINOLE</v>
          </cell>
          <cell r="C31" t="str">
            <v>6/99</v>
          </cell>
          <cell r="D31">
            <v>240</v>
          </cell>
          <cell r="E31">
            <v>1520.74</v>
          </cell>
          <cell r="F31">
            <v>-323.34</v>
          </cell>
          <cell r="G31">
            <v>-6.34</v>
          </cell>
          <cell r="H31">
            <v>-329.67999999999995</v>
          </cell>
          <cell r="I31">
            <v>1191.06</v>
          </cell>
        </row>
        <row r="32">
          <cell r="E32" t="str">
            <v>-</v>
          </cell>
          <cell r="F32" t="str">
            <v>-</v>
          </cell>
          <cell r="G32" t="str">
            <v>-</v>
          </cell>
          <cell r="H32" t="str">
            <v>-</v>
          </cell>
          <cell r="I32" t="str">
            <v>-</v>
          </cell>
        </row>
        <row r="33">
          <cell r="A33" t="str">
            <v>     SUBTOTALS</v>
          </cell>
          <cell r="B33" t="str">
            <v>SEMINOLE</v>
          </cell>
          <cell r="E33">
            <v>155273.77</v>
          </cell>
          <cell r="F33">
            <v>-48184.95</v>
          </cell>
          <cell r="G33">
            <v>-646.99</v>
          </cell>
          <cell r="H33">
            <v>-48831.939999999995</v>
          </cell>
          <cell r="I33">
            <v>106441.83000000002</v>
          </cell>
        </row>
        <row r="34">
          <cell r="E34" t="str">
            <v>-</v>
          </cell>
          <cell r="F34" t="str">
            <v>-</v>
          </cell>
          <cell r="G34" t="str">
            <v>-</v>
          </cell>
          <cell r="H34" t="str">
            <v>-</v>
          </cell>
          <cell r="I34" t="str">
            <v>-</v>
          </cell>
        </row>
        <row r="36">
          <cell r="A36" t="str">
            <v>RANDY COLEMAN</v>
          </cell>
          <cell r="B36" t="str">
            <v>MORTON</v>
          </cell>
          <cell r="C36" t="str">
            <v>6/97</v>
          </cell>
          <cell r="D36">
            <v>240</v>
          </cell>
          <cell r="E36">
            <v>3436.84</v>
          </cell>
          <cell r="F36">
            <v>-1074</v>
          </cell>
          <cell r="G36">
            <v>-14.32</v>
          </cell>
          <cell r="H36">
            <v>-1088.32</v>
          </cell>
          <cell r="I36">
            <v>2348.5200000000004</v>
          </cell>
        </row>
        <row r="37">
          <cell r="A37" t="str">
            <v>RONALD COLEMAN</v>
          </cell>
          <cell r="B37" t="str">
            <v>MORTON</v>
          </cell>
          <cell r="C37" t="str">
            <v>6/97</v>
          </cell>
          <cell r="D37">
            <v>240</v>
          </cell>
          <cell r="E37">
            <v>3436.84</v>
          </cell>
          <cell r="F37">
            <v>-1074</v>
          </cell>
          <cell r="G37">
            <v>-14.32</v>
          </cell>
          <cell r="H37">
            <v>-1088.32</v>
          </cell>
          <cell r="I37">
            <v>2348.5200000000004</v>
          </cell>
        </row>
        <row r="38">
          <cell r="A38" t="str">
            <v>MARGIE DAVIS</v>
          </cell>
          <cell r="B38" t="str">
            <v>MORTON</v>
          </cell>
          <cell r="C38" t="str">
            <v>6/97</v>
          </cell>
          <cell r="D38">
            <v>240</v>
          </cell>
          <cell r="E38">
            <v>817</v>
          </cell>
          <cell r="F38">
            <v>-255</v>
          </cell>
          <cell r="G38">
            <v>-3.4</v>
          </cell>
          <cell r="H38">
            <v>-258.4</v>
          </cell>
          <cell r="I38">
            <v>558.6</v>
          </cell>
        </row>
        <row r="39">
          <cell r="A39" t="str">
            <v>RUDY JESKO</v>
          </cell>
          <cell r="B39" t="str">
            <v>MORTON</v>
          </cell>
          <cell r="C39" t="str">
            <v>6/97</v>
          </cell>
          <cell r="D39">
            <v>240</v>
          </cell>
          <cell r="E39">
            <v>10500</v>
          </cell>
          <cell r="F39">
            <v>-3281.25</v>
          </cell>
          <cell r="G39">
            <v>-43.75</v>
          </cell>
          <cell r="H39">
            <v>-3325</v>
          </cell>
          <cell r="I39">
            <v>7175</v>
          </cell>
        </row>
        <row r="40">
          <cell r="A40" t="str">
            <v>J.C. REYNOLDS</v>
          </cell>
          <cell r="B40" t="str">
            <v>MORTON</v>
          </cell>
          <cell r="C40" t="str">
            <v>6/97</v>
          </cell>
          <cell r="D40">
            <v>240</v>
          </cell>
          <cell r="E40">
            <v>801.68</v>
          </cell>
          <cell r="F40">
            <v>-250.5</v>
          </cell>
          <cell r="G40">
            <v>-3.34</v>
          </cell>
          <cell r="H40">
            <v>-253.84</v>
          </cell>
          <cell r="I40">
            <v>547.8399999999999</v>
          </cell>
        </row>
        <row r="41">
          <cell r="A41" t="str">
            <v>PETE TARLETON</v>
          </cell>
          <cell r="B41" t="str">
            <v>MORTON</v>
          </cell>
          <cell r="C41" t="str">
            <v>6/97</v>
          </cell>
          <cell r="D41">
            <v>240</v>
          </cell>
          <cell r="E41">
            <v>817</v>
          </cell>
          <cell r="F41">
            <v>-255</v>
          </cell>
          <cell r="G41">
            <v>-3.4</v>
          </cell>
          <cell r="H41">
            <v>-258.4</v>
          </cell>
          <cell r="I41">
            <v>558.6</v>
          </cell>
        </row>
        <row r="42">
          <cell r="A42" t="str">
            <v>COLEMAN &amp; COLEMAN</v>
          </cell>
          <cell r="B42" t="str">
            <v>MORTON</v>
          </cell>
          <cell r="C42" t="str">
            <v>9/98</v>
          </cell>
          <cell r="D42">
            <v>240</v>
          </cell>
          <cell r="E42">
            <v>5500</v>
          </cell>
          <cell r="F42">
            <v>-1375.2</v>
          </cell>
          <cell r="G42">
            <v>-22.92</v>
          </cell>
          <cell r="H42">
            <v>-1398.1200000000001</v>
          </cell>
          <cell r="I42">
            <v>4101.88</v>
          </cell>
        </row>
        <row r="43">
          <cell r="E43" t="str">
            <v>-</v>
          </cell>
          <cell r="F43" t="str">
            <v>-</v>
          </cell>
          <cell r="G43" t="str">
            <v>-</v>
          </cell>
          <cell r="H43" t="str">
            <v>-</v>
          </cell>
          <cell r="I43" t="str">
            <v>-</v>
          </cell>
        </row>
        <row r="44">
          <cell r="A44" t="str">
            <v>     SUBTOTALS</v>
          </cell>
          <cell r="B44" t="str">
            <v>MORTON</v>
          </cell>
          <cell r="E44">
            <v>25309.36</v>
          </cell>
          <cell r="F44">
            <v>-7564.95</v>
          </cell>
          <cell r="G44">
            <v>-105.45</v>
          </cell>
          <cell r="H44">
            <v>-7670.4</v>
          </cell>
          <cell r="I44">
            <v>17638.960000000003</v>
          </cell>
        </row>
        <row r="45">
          <cell r="E45" t="str">
            <v>-</v>
          </cell>
          <cell r="F45" t="str">
            <v>-</v>
          </cell>
          <cell r="G45" t="str">
            <v>-</v>
          </cell>
          <cell r="H45" t="str">
            <v>-</v>
          </cell>
          <cell r="I45" t="str">
            <v>-</v>
          </cell>
        </row>
        <row r="47">
          <cell r="A47" t="str">
            <v>WENDELL HESS</v>
          </cell>
          <cell r="B47" t="str">
            <v>KERMIT</v>
          </cell>
          <cell r="C47" t="str">
            <v>4/02</v>
          </cell>
          <cell r="D47">
            <v>240</v>
          </cell>
          <cell r="E47">
            <v>14375.85</v>
          </cell>
          <cell r="F47">
            <v>-1018.3</v>
          </cell>
          <cell r="G47">
            <v>-59.9</v>
          </cell>
          <cell r="H47">
            <v>-1078.2</v>
          </cell>
          <cell r="I47">
            <v>13297.65</v>
          </cell>
        </row>
        <row r="48">
          <cell r="A48" t="str">
            <v>SAUL QUIROZ</v>
          </cell>
          <cell r="B48" t="str">
            <v>KERMIT</v>
          </cell>
          <cell r="C48" t="str">
            <v>7/02</v>
          </cell>
          <cell r="D48">
            <v>240</v>
          </cell>
          <cell r="E48">
            <v>1066.58</v>
          </cell>
          <cell r="F48">
            <v>-62.16</v>
          </cell>
          <cell r="G48">
            <v>-4.44</v>
          </cell>
          <cell r="H48">
            <v>-66.6</v>
          </cell>
          <cell r="I48">
            <v>999.9799999999999</v>
          </cell>
        </row>
        <row r="49">
          <cell r="E49" t="str">
            <v>-</v>
          </cell>
          <cell r="F49" t="str">
            <v>-</v>
          </cell>
          <cell r="G49" t="str">
            <v>-</v>
          </cell>
          <cell r="H49" t="str">
            <v>-</v>
          </cell>
          <cell r="I49" t="str">
            <v>-</v>
          </cell>
        </row>
        <row r="50">
          <cell r="A50" t="str">
            <v>     SUBTOTALS</v>
          </cell>
          <cell r="B50" t="str">
            <v>KERMIT</v>
          </cell>
          <cell r="E50">
            <v>15442.43</v>
          </cell>
          <cell r="F50">
            <v>-1080.46</v>
          </cell>
          <cell r="G50">
            <v>-64.34</v>
          </cell>
          <cell r="H50">
            <v>-1144.8</v>
          </cell>
          <cell r="I50">
            <v>14297.63</v>
          </cell>
        </row>
        <row r="51">
          <cell r="E51" t="str">
            <v>-</v>
          </cell>
          <cell r="F51" t="str">
            <v>-</v>
          </cell>
          <cell r="G51" t="str">
            <v>-</v>
          </cell>
          <cell r="H51" t="str">
            <v>-</v>
          </cell>
          <cell r="I51" t="str">
            <v>-</v>
          </cell>
        </row>
        <row r="53">
          <cell r="A53" t="str">
            <v>PAT BUCHELLE</v>
          </cell>
          <cell r="B53" t="str">
            <v>SHAMROCK</v>
          </cell>
          <cell r="C53" t="str">
            <v>6/97</v>
          </cell>
          <cell r="D53">
            <v>240</v>
          </cell>
          <cell r="E53">
            <v>318.69</v>
          </cell>
          <cell r="F53">
            <v>-99.75</v>
          </cell>
          <cell r="G53">
            <v>-1.33</v>
          </cell>
          <cell r="H53">
            <v>-101.08</v>
          </cell>
          <cell r="I53">
            <v>217.61</v>
          </cell>
        </row>
        <row r="54">
          <cell r="A54" t="str">
            <v>TOMMY COLEMAN</v>
          </cell>
          <cell r="B54" t="str">
            <v>SHAMROCK</v>
          </cell>
          <cell r="C54" t="str">
            <v>6/97</v>
          </cell>
          <cell r="D54">
            <v>240</v>
          </cell>
          <cell r="E54">
            <v>453.22</v>
          </cell>
          <cell r="F54">
            <v>-141.75</v>
          </cell>
          <cell r="G54">
            <v>-1.89</v>
          </cell>
          <cell r="H54">
            <v>-143.64</v>
          </cell>
          <cell r="I54">
            <v>309.58000000000004</v>
          </cell>
        </row>
        <row r="55">
          <cell r="A55" t="str">
            <v>STAVENHGN PLACE</v>
          </cell>
          <cell r="B55" t="str">
            <v>SHAMROCK</v>
          </cell>
          <cell r="C55" t="str">
            <v>6/97</v>
          </cell>
          <cell r="D55">
            <v>240</v>
          </cell>
          <cell r="E55">
            <v>1859.46</v>
          </cell>
          <cell r="F55">
            <v>-581.25</v>
          </cell>
          <cell r="G55">
            <v>-7.75</v>
          </cell>
          <cell r="H55">
            <v>-589</v>
          </cell>
          <cell r="I55">
            <v>1270.46</v>
          </cell>
        </row>
        <row r="56">
          <cell r="A56" t="str">
            <v>CRSSRDS PEANUT</v>
          </cell>
          <cell r="B56" t="str">
            <v>SHAMROCK</v>
          </cell>
          <cell r="C56" t="str">
            <v>10/97</v>
          </cell>
          <cell r="D56">
            <v>240</v>
          </cell>
          <cell r="E56">
            <v>11850</v>
          </cell>
          <cell r="F56">
            <v>-3505.98</v>
          </cell>
          <cell r="G56">
            <v>-49.38</v>
          </cell>
          <cell r="H56">
            <v>-3555.36</v>
          </cell>
          <cell r="I56">
            <v>8294.64</v>
          </cell>
        </row>
        <row r="57">
          <cell r="A57" t="str">
            <v>FOXTAIL WEST</v>
          </cell>
          <cell r="B57" t="str">
            <v>SHAMROCK</v>
          </cell>
          <cell r="C57" t="str">
            <v>5/98</v>
          </cell>
          <cell r="D57">
            <v>240</v>
          </cell>
          <cell r="E57">
            <v>436.07</v>
          </cell>
          <cell r="F57">
            <v>-116.48</v>
          </cell>
          <cell r="G57">
            <v>-1.82</v>
          </cell>
          <cell r="H57">
            <v>-118.3</v>
          </cell>
          <cell r="I57">
            <v>317.77</v>
          </cell>
        </row>
        <row r="58">
          <cell r="A58" t="str">
            <v>JACK BURNETT</v>
          </cell>
          <cell r="B58" t="str">
            <v>SHAMROCK</v>
          </cell>
          <cell r="C58" t="str">
            <v>4/01</v>
          </cell>
          <cell r="D58">
            <v>240</v>
          </cell>
          <cell r="E58">
            <v>982.56</v>
          </cell>
          <cell r="F58">
            <v>-118.61</v>
          </cell>
          <cell r="G58">
            <v>-4.09</v>
          </cell>
          <cell r="H58">
            <v>-122.7</v>
          </cell>
          <cell r="I58">
            <v>859.8599999999999</v>
          </cell>
        </row>
        <row r="59">
          <cell r="A59" t="str">
            <v>TOMMY COLEMAN</v>
          </cell>
          <cell r="B59" t="str">
            <v>SHAMROCK</v>
          </cell>
          <cell r="C59" t="str">
            <v>1/02</v>
          </cell>
          <cell r="D59">
            <v>240</v>
          </cell>
          <cell r="E59">
            <v>984.4</v>
          </cell>
          <cell r="F59">
            <v>-82</v>
          </cell>
          <cell r="G59">
            <v>-4.1</v>
          </cell>
          <cell r="H59">
            <v>-86.1</v>
          </cell>
          <cell r="I59">
            <v>898.3</v>
          </cell>
        </row>
        <row r="60">
          <cell r="A60" t="str">
            <v>DANNY WISCHKAEMPER</v>
          </cell>
          <cell r="B60" t="str">
            <v>SHAMROCK</v>
          </cell>
          <cell r="C60" t="str">
            <v>5/02</v>
          </cell>
          <cell r="D60">
            <v>240</v>
          </cell>
          <cell r="E60">
            <v>526.24</v>
          </cell>
          <cell r="F60">
            <v>-35.04</v>
          </cell>
          <cell r="G60">
            <v>-2.19</v>
          </cell>
          <cell r="H60">
            <v>-37.23</v>
          </cell>
          <cell r="I60">
            <v>489.01</v>
          </cell>
        </row>
        <row r="61">
          <cell r="A61" t="str">
            <v>JOHN THOMAS</v>
          </cell>
          <cell r="B61" t="str">
            <v>SHAMROCK</v>
          </cell>
          <cell r="C61" t="str">
            <v>6/02</v>
          </cell>
          <cell r="D61">
            <v>240</v>
          </cell>
          <cell r="E61">
            <v>174.8</v>
          </cell>
          <cell r="F61">
            <v>-10.95</v>
          </cell>
          <cell r="G61">
            <v>-0.73</v>
          </cell>
          <cell r="H61">
            <v>-11.68</v>
          </cell>
          <cell r="I61">
            <v>163.12</v>
          </cell>
        </row>
        <row r="62">
          <cell r="E62" t="str">
            <v>-</v>
          </cell>
          <cell r="F62" t="str">
            <v>-</v>
          </cell>
          <cell r="G62" t="str">
            <v>-</v>
          </cell>
          <cell r="H62" t="str">
            <v>-</v>
          </cell>
          <cell r="I62" t="str">
            <v>-</v>
          </cell>
        </row>
        <row r="63">
          <cell r="A63" t="str">
            <v>     SUBTOTALS</v>
          </cell>
          <cell r="B63" t="str">
            <v>SHAMROCK</v>
          </cell>
          <cell r="E63">
            <v>17585.44</v>
          </cell>
          <cell r="F63">
            <v>-4691.809999999999</v>
          </cell>
          <cell r="G63">
            <v>-73.28</v>
          </cell>
          <cell r="H63">
            <v>-4765.09</v>
          </cell>
          <cell r="I63">
            <v>12820.35</v>
          </cell>
        </row>
        <row r="64">
          <cell r="E64" t="str">
            <v>-</v>
          </cell>
          <cell r="F64" t="str">
            <v>-</v>
          </cell>
          <cell r="G64" t="str">
            <v>-</v>
          </cell>
          <cell r="H64" t="str">
            <v>-</v>
          </cell>
          <cell r="I64" t="str">
            <v>-</v>
          </cell>
        </row>
        <row r="66">
          <cell r="A66" t="str">
            <v>TX. DEPT. OF TRANSP.</v>
          </cell>
          <cell r="B66" t="str">
            <v>DALHART</v>
          </cell>
          <cell r="C66" t="str">
            <v>6/97</v>
          </cell>
          <cell r="D66">
            <v>240</v>
          </cell>
          <cell r="E66">
            <v>8417.07</v>
          </cell>
          <cell r="F66">
            <v>-2630.25</v>
          </cell>
          <cell r="G66">
            <v>-35.07</v>
          </cell>
          <cell r="H66">
            <v>-2665.32</v>
          </cell>
          <cell r="I66">
            <v>5751.75</v>
          </cell>
        </row>
        <row r="67">
          <cell r="A67" t="str">
            <v>JAN BRINKMAN</v>
          </cell>
          <cell r="B67" t="str">
            <v>DALHART</v>
          </cell>
          <cell r="C67" t="str">
            <v>6/00</v>
          </cell>
          <cell r="D67">
            <v>240</v>
          </cell>
          <cell r="E67">
            <v>2956.8</v>
          </cell>
          <cell r="F67">
            <v>-480.48</v>
          </cell>
          <cell r="G67">
            <v>-12.32</v>
          </cell>
          <cell r="H67">
            <v>-492.8</v>
          </cell>
          <cell r="I67">
            <v>2464</v>
          </cell>
        </row>
        <row r="68">
          <cell r="A68" t="str">
            <v>PREMIUM STD. FARMS</v>
          </cell>
          <cell r="B68" t="str">
            <v>DALHART</v>
          </cell>
          <cell r="C68" t="str">
            <v>10/00</v>
          </cell>
          <cell r="D68">
            <v>240</v>
          </cell>
          <cell r="E68">
            <v>1399.91</v>
          </cell>
          <cell r="F68">
            <v>-204.05</v>
          </cell>
          <cell r="G68">
            <v>-5.83</v>
          </cell>
          <cell r="H68">
            <v>-209.88000000000002</v>
          </cell>
          <cell r="I68">
            <v>1190.03</v>
          </cell>
        </row>
        <row r="69">
          <cell r="A69" t="str">
            <v>NORTHSIDE DAIRY</v>
          </cell>
          <cell r="B69" t="str">
            <v>DALHART</v>
          </cell>
          <cell r="C69" t="str">
            <v>2/03</v>
          </cell>
          <cell r="D69">
            <v>240</v>
          </cell>
          <cell r="E69">
            <v>2020</v>
          </cell>
          <cell r="F69">
            <v>-58.94</v>
          </cell>
          <cell r="G69">
            <v>-8.42</v>
          </cell>
          <cell r="H69">
            <v>-67.36</v>
          </cell>
          <cell r="I69">
            <v>1952.64</v>
          </cell>
        </row>
        <row r="70">
          <cell r="A70" t="str">
            <v>FOUR STAR FARMS</v>
          </cell>
          <cell r="B70" t="str">
            <v>DALHART</v>
          </cell>
          <cell r="C70" t="str">
            <v>2/03</v>
          </cell>
          <cell r="D70">
            <v>240</v>
          </cell>
          <cell r="E70">
            <v>2142.5</v>
          </cell>
          <cell r="F70">
            <v>-62.51</v>
          </cell>
          <cell r="G70">
            <v>-8.93</v>
          </cell>
          <cell r="H70">
            <v>-71.44</v>
          </cell>
          <cell r="I70">
            <v>2071.06</v>
          </cell>
        </row>
        <row r="71">
          <cell r="A71" t="str">
            <v>FOUR STAR FARMS</v>
          </cell>
          <cell r="B71" t="str">
            <v>DALHART</v>
          </cell>
          <cell r="C71" t="str">
            <v>6/03</v>
          </cell>
          <cell r="D71">
            <v>240</v>
          </cell>
          <cell r="E71">
            <v>6150.13</v>
          </cell>
          <cell r="F71">
            <v>-76.89</v>
          </cell>
          <cell r="G71">
            <v>-25.63</v>
          </cell>
          <cell r="H71">
            <v>-102.52</v>
          </cell>
          <cell r="I71">
            <v>6047.61</v>
          </cell>
        </row>
        <row r="72">
          <cell r="A72" t="str">
            <v>CSS POTATO</v>
          </cell>
          <cell r="B72" t="str">
            <v>DALHART</v>
          </cell>
          <cell r="C72" t="str">
            <v>7/03</v>
          </cell>
          <cell r="D72">
            <v>240</v>
          </cell>
          <cell r="E72">
            <v>5000</v>
          </cell>
          <cell r="F72">
            <v>-41.66</v>
          </cell>
          <cell r="G72">
            <v>-20.83</v>
          </cell>
          <cell r="H72">
            <v>-62.489999999999995</v>
          </cell>
          <cell r="I72">
            <v>4937.51</v>
          </cell>
        </row>
        <row r="73">
          <cell r="E73" t="str">
            <v>-</v>
          </cell>
          <cell r="F73" t="str">
            <v>-</v>
          </cell>
          <cell r="G73" t="str">
            <v>-</v>
          </cell>
          <cell r="H73" t="str">
            <v>-</v>
          </cell>
          <cell r="I73" t="str">
            <v>-</v>
          </cell>
        </row>
        <row r="74">
          <cell r="A74" t="str">
            <v>     SUBTOTALS</v>
          </cell>
          <cell r="B74" t="str">
            <v>DALHART</v>
          </cell>
          <cell r="E74">
            <v>28086.41</v>
          </cell>
          <cell r="F74">
            <v>-3554.78</v>
          </cell>
          <cell r="G74">
            <v>-117.02999999999999</v>
          </cell>
          <cell r="H74">
            <v>-3671.8100000000004</v>
          </cell>
          <cell r="I74">
            <v>24414.6</v>
          </cell>
        </row>
        <row r="75">
          <cell r="E75" t="str">
            <v>-</v>
          </cell>
          <cell r="F75" t="str">
            <v>-</v>
          </cell>
          <cell r="G75" t="str">
            <v>-</v>
          </cell>
          <cell r="H75" t="str">
            <v>-</v>
          </cell>
          <cell r="I75" t="str">
            <v>-</v>
          </cell>
        </row>
        <row r="77">
          <cell r="A77" t="str">
            <v>ENRON TRANS. &amp; STOR.</v>
          </cell>
          <cell r="B77" t="str">
            <v>SPEARMAN</v>
          </cell>
          <cell r="C77" t="str">
            <v>7/98</v>
          </cell>
          <cell r="D77">
            <v>240</v>
          </cell>
          <cell r="E77">
            <v>24084.11</v>
          </cell>
          <cell r="F77">
            <v>-6221.7</v>
          </cell>
          <cell r="G77">
            <v>-100.35</v>
          </cell>
          <cell r="H77">
            <v>-6322.05</v>
          </cell>
          <cell r="I77">
            <v>17762.06</v>
          </cell>
        </row>
        <row r="78">
          <cell r="A78" t="str">
            <v>OCEAN ENERGY</v>
          </cell>
          <cell r="B78" t="str">
            <v>SPEARMAN</v>
          </cell>
          <cell r="C78" t="str">
            <v>9/98</v>
          </cell>
          <cell r="D78">
            <v>240</v>
          </cell>
          <cell r="E78">
            <v>30000</v>
          </cell>
          <cell r="F78">
            <v>-7500</v>
          </cell>
          <cell r="G78">
            <v>-125</v>
          </cell>
          <cell r="H78">
            <v>-7625</v>
          </cell>
          <cell r="I78">
            <v>22375</v>
          </cell>
        </row>
        <row r="79">
          <cell r="A79" t="str">
            <v>GPM</v>
          </cell>
          <cell r="B79" t="str">
            <v>SPEARMAN</v>
          </cell>
          <cell r="C79" t="str">
            <v>8/00</v>
          </cell>
          <cell r="D79">
            <v>240</v>
          </cell>
          <cell r="E79">
            <v>30000</v>
          </cell>
          <cell r="F79">
            <v>-4625</v>
          </cell>
          <cell r="G79">
            <v>-125</v>
          </cell>
          <cell r="H79">
            <v>-4750</v>
          </cell>
          <cell r="I79">
            <v>25250</v>
          </cell>
        </row>
        <row r="80">
          <cell r="A80" t="str">
            <v>DUKE ENERGY FLD SVCS</v>
          </cell>
          <cell r="B80" t="str">
            <v>SPEARMAN</v>
          </cell>
          <cell r="C80" t="str">
            <v>7/01</v>
          </cell>
          <cell r="D80">
            <v>240</v>
          </cell>
          <cell r="E80">
            <v>3000</v>
          </cell>
          <cell r="F80">
            <v>-325</v>
          </cell>
          <cell r="G80">
            <v>-12.5</v>
          </cell>
          <cell r="H80">
            <v>-337.5</v>
          </cell>
          <cell r="I80">
            <v>2662.5</v>
          </cell>
        </row>
        <row r="81">
          <cell r="A81" t="str">
            <v>OCEAN ENERGY</v>
          </cell>
          <cell r="B81" t="str">
            <v>SPEARMAN</v>
          </cell>
          <cell r="C81" t="str">
            <v>8/01</v>
          </cell>
          <cell r="D81">
            <v>240</v>
          </cell>
          <cell r="E81">
            <v>41684.39</v>
          </cell>
          <cell r="F81">
            <v>-4350.4</v>
          </cell>
          <cell r="G81">
            <v>-173.68</v>
          </cell>
          <cell r="H81">
            <v>-4524.08</v>
          </cell>
          <cell r="I81">
            <v>37160.31</v>
          </cell>
        </row>
        <row r="82">
          <cell r="A82" t="str">
            <v>OCEAN ENERGY</v>
          </cell>
          <cell r="B82" t="str">
            <v>SPEARMAN</v>
          </cell>
          <cell r="C82" t="str">
            <v>10/01</v>
          </cell>
          <cell r="D82">
            <v>240</v>
          </cell>
          <cell r="E82">
            <v>7230.33</v>
          </cell>
          <cell r="F82">
            <v>-692.99</v>
          </cell>
          <cell r="G82">
            <v>-30.13</v>
          </cell>
          <cell r="H82">
            <v>-723.12</v>
          </cell>
          <cell r="I82">
            <v>6507.21</v>
          </cell>
        </row>
        <row r="83">
          <cell r="A83" t="str">
            <v>DUKE ENERGY FLD SVCS</v>
          </cell>
          <cell r="B83" t="str">
            <v>SPEARMAN</v>
          </cell>
          <cell r="C83" t="str">
            <v>3/02</v>
          </cell>
          <cell r="D83">
            <v>240</v>
          </cell>
          <cell r="E83">
            <v>6732.65</v>
          </cell>
          <cell r="F83">
            <v>-504.9</v>
          </cell>
          <cell r="G83">
            <v>-28.05</v>
          </cell>
          <cell r="H83">
            <v>-532.9499999999999</v>
          </cell>
          <cell r="I83">
            <v>6199.7</v>
          </cell>
        </row>
        <row r="84">
          <cell r="A84" t="str">
            <v>STRATLAND EXPLOR</v>
          </cell>
          <cell r="B84" t="str">
            <v>SPEARMAN</v>
          </cell>
          <cell r="C84" t="str">
            <v>8/03</v>
          </cell>
          <cell r="D84">
            <v>240</v>
          </cell>
          <cell r="E84">
            <v>1499.82</v>
          </cell>
          <cell r="F84">
            <v>-6.25</v>
          </cell>
          <cell r="G84">
            <v>-6.25</v>
          </cell>
          <cell r="H84">
            <v>-12.5</v>
          </cell>
          <cell r="I84">
            <v>1487.32</v>
          </cell>
        </row>
        <row r="85">
          <cell r="E85" t="str">
            <v>-</v>
          </cell>
          <cell r="F85" t="str">
            <v>-</v>
          </cell>
          <cell r="G85" t="str">
            <v>-</v>
          </cell>
          <cell r="H85" t="str">
            <v>-</v>
          </cell>
          <cell r="I85" t="str">
            <v>-</v>
          </cell>
        </row>
        <row r="86">
          <cell r="A86" t="str">
            <v>     SUBTOTALS</v>
          </cell>
          <cell r="B86" t="str">
            <v>SPEARMAN</v>
          </cell>
          <cell r="E86">
            <v>144231.3</v>
          </cell>
          <cell r="F86">
            <v>-24226.24</v>
          </cell>
          <cell r="G86">
            <v>-600.9599999999999</v>
          </cell>
          <cell r="H86">
            <v>-24827.199999999997</v>
          </cell>
          <cell r="I86">
            <v>119404.1</v>
          </cell>
        </row>
        <row r="87">
          <cell r="E87" t="str">
            <v>-</v>
          </cell>
          <cell r="F87" t="str">
            <v>-</v>
          </cell>
          <cell r="G87" t="str">
            <v>-</v>
          </cell>
          <cell r="H87" t="str">
            <v>-</v>
          </cell>
          <cell r="I87" t="str">
            <v>-</v>
          </cell>
        </row>
        <row r="89">
          <cell r="A89" t="str">
            <v>SOUTHWESTERN GRAIN</v>
          </cell>
          <cell r="B89" t="str">
            <v>PLAINVIEW</v>
          </cell>
          <cell r="C89" t="str">
            <v>6/97</v>
          </cell>
          <cell r="D89">
            <v>240</v>
          </cell>
          <cell r="E89">
            <v>6000</v>
          </cell>
          <cell r="F89">
            <v>-1875</v>
          </cell>
          <cell r="G89">
            <v>-25</v>
          </cell>
          <cell r="H89">
            <v>-1900</v>
          </cell>
          <cell r="I89">
            <v>4100</v>
          </cell>
        </row>
        <row r="90">
          <cell r="A90" t="str">
            <v>A &amp; B LINE</v>
          </cell>
          <cell r="B90" t="str">
            <v>PLAINVIEW</v>
          </cell>
          <cell r="C90" t="str">
            <v>6/97</v>
          </cell>
          <cell r="D90">
            <v>240</v>
          </cell>
          <cell r="E90">
            <v>1394.4</v>
          </cell>
          <cell r="F90">
            <v>-435.75</v>
          </cell>
          <cell r="G90">
            <v>-5.81</v>
          </cell>
          <cell r="H90">
            <v>-441.56</v>
          </cell>
          <cell r="I90">
            <v>952.8400000000001</v>
          </cell>
        </row>
        <row r="91">
          <cell r="A91" t="str">
            <v>JONES &amp; JONES</v>
          </cell>
          <cell r="B91" t="str">
            <v>PLAINVIEW</v>
          </cell>
          <cell r="C91" t="str">
            <v>6/97</v>
          </cell>
          <cell r="D91">
            <v>240</v>
          </cell>
          <cell r="E91">
            <v>546</v>
          </cell>
          <cell r="F91">
            <v>-171</v>
          </cell>
          <cell r="G91">
            <v>-2.28</v>
          </cell>
          <cell r="H91">
            <v>-173.28</v>
          </cell>
          <cell r="I91">
            <v>372.72</v>
          </cell>
        </row>
        <row r="92">
          <cell r="A92" t="str">
            <v>RECORD</v>
          </cell>
          <cell r="B92" t="str">
            <v>PLAINVIEW</v>
          </cell>
          <cell r="C92" t="str">
            <v>6/97</v>
          </cell>
          <cell r="D92">
            <v>240</v>
          </cell>
          <cell r="E92">
            <v>900.2</v>
          </cell>
          <cell r="F92">
            <v>-281.25</v>
          </cell>
          <cell r="G92">
            <v>-3.75</v>
          </cell>
          <cell r="H92">
            <v>-285</v>
          </cell>
          <cell r="I92">
            <v>615.2</v>
          </cell>
        </row>
        <row r="93">
          <cell r="A93" t="str">
            <v>BLOYS CATES</v>
          </cell>
          <cell r="B93" t="str">
            <v>PLAINVIEW</v>
          </cell>
          <cell r="C93" t="str">
            <v>2/98</v>
          </cell>
          <cell r="D93">
            <v>240</v>
          </cell>
          <cell r="E93">
            <v>426.62</v>
          </cell>
          <cell r="F93">
            <v>-119.26</v>
          </cell>
          <cell r="G93">
            <v>-1.78</v>
          </cell>
          <cell r="H93">
            <v>-121.04</v>
          </cell>
          <cell r="I93">
            <v>305.58</v>
          </cell>
        </row>
        <row r="94">
          <cell r="A94" t="str">
            <v>RAMAGE MATHEWS</v>
          </cell>
          <cell r="B94" t="str">
            <v>PLAINVIEW</v>
          </cell>
          <cell r="C94" t="str">
            <v>2/98</v>
          </cell>
          <cell r="D94">
            <v>240</v>
          </cell>
          <cell r="E94">
            <v>1318.9</v>
          </cell>
          <cell r="F94">
            <v>-368.5</v>
          </cell>
          <cell r="G94">
            <v>-5.5</v>
          </cell>
          <cell r="H94">
            <v>-374</v>
          </cell>
          <cell r="I94">
            <v>944.9000000000001</v>
          </cell>
        </row>
        <row r="95">
          <cell r="A95" t="str">
            <v>CHARLES STROOPE</v>
          </cell>
          <cell r="B95" t="str">
            <v>PLAINVIEW</v>
          </cell>
          <cell r="C95" t="str">
            <v>8/98</v>
          </cell>
          <cell r="D95">
            <v>240</v>
          </cell>
          <cell r="E95">
            <v>1454.81</v>
          </cell>
          <cell r="F95">
            <v>-369.66</v>
          </cell>
          <cell r="G95">
            <v>-6.06</v>
          </cell>
          <cell r="H95">
            <v>-375.72</v>
          </cell>
          <cell r="I95">
            <v>1079.09</v>
          </cell>
        </row>
        <row r="96">
          <cell r="A96" t="str">
            <v>SCOTT GIN</v>
          </cell>
          <cell r="B96" t="str">
            <v>PLAINVIEW</v>
          </cell>
          <cell r="C96" t="str">
            <v>12/98</v>
          </cell>
          <cell r="D96">
            <v>240</v>
          </cell>
          <cell r="E96">
            <v>7000</v>
          </cell>
          <cell r="F96">
            <v>-1662.69</v>
          </cell>
          <cell r="G96">
            <v>-29.17</v>
          </cell>
          <cell r="H96">
            <v>-1691.8600000000001</v>
          </cell>
          <cell r="I96">
            <v>5308.139999999999</v>
          </cell>
        </row>
        <row r="97">
          <cell r="A97" t="str">
            <v>C.A. BOND</v>
          </cell>
          <cell r="B97" t="str">
            <v>PLAINVIEW</v>
          </cell>
          <cell r="C97" t="str">
            <v>2/99</v>
          </cell>
          <cell r="D97">
            <v>240</v>
          </cell>
          <cell r="E97">
            <v>1228</v>
          </cell>
          <cell r="F97">
            <v>-281.6</v>
          </cell>
          <cell r="G97">
            <v>-5.12</v>
          </cell>
          <cell r="H97">
            <v>-286.72</v>
          </cell>
          <cell r="I97">
            <v>941.28</v>
          </cell>
        </row>
        <row r="98">
          <cell r="A98" t="str">
            <v>SPADE COOP GIN</v>
          </cell>
          <cell r="B98" t="str">
            <v>PLAINVIEW</v>
          </cell>
          <cell r="C98" t="str">
            <v>7/01</v>
          </cell>
          <cell r="D98">
            <v>240</v>
          </cell>
          <cell r="E98">
            <v>5000</v>
          </cell>
          <cell r="F98">
            <v>-541.58</v>
          </cell>
          <cell r="G98">
            <v>-20.83</v>
          </cell>
          <cell r="H98">
            <v>-562.4100000000001</v>
          </cell>
          <cell r="I98">
            <v>4437.59</v>
          </cell>
        </row>
        <row r="99">
          <cell r="A99" t="str">
            <v>PIERCE PLUMBING CO</v>
          </cell>
          <cell r="B99" t="str">
            <v>PLAINVIEW</v>
          </cell>
          <cell r="C99" t="str">
            <v>8/03</v>
          </cell>
          <cell r="D99">
            <v>240</v>
          </cell>
          <cell r="E99">
            <v>2035.94</v>
          </cell>
          <cell r="F99">
            <v>-8.48</v>
          </cell>
          <cell r="G99">
            <v>-8.48</v>
          </cell>
          <cell r="H99">
            <v>-16.96</v>
          </cell>
          <cell r="I99">
            <v>2018.98</v>
          </cell>
        </row>
        <row r="100">
          <cell r="E100" t="str">
            <v>-</v>
          </cell>
          <cell r="F100" t="str">
            <v>-</v>
          </cell>
          <cell r="G100" t="str">
            <v>-</v>
          </cell>
          <cell r="H100" t="str">
            <v>-</v>
          </cell>
          <cell r="I100" t="str">
            <v>-</v>
          </cell>
        </row>
        <row r="101">
          <cell r="A101" t="str">
            <v>     SUBTOTALS</v>
          </cell>
          <cell r="B101" t="str">
            <v>PLAINVIEW</v>
          </cell>
          <cell r="E101">
            <v>27304.87</v>
          </cell>
          <cell r="F101">
            <v>-6114.77</v>
          </cell>
          <cell r="G101">
            <v>-113.78</v>
          </cell>
          <cell r="H101">
            <v>-6228.550000000001</v>
          </cell>
          <cell r="I101">
            <v>21076.32</v>
          </cell>
        </row>
        <row r="102">
          <cell r="E102" t="str">
            <v>-</v>
          </cell>
          <cell r="F102" t="str">
            <v>-</v>
          </cell>
          <cell r="G102" t="str">
            <v>-</v>
          </cell>
          <cell r="H102" t="str">
            <v>-</v>
          </cell>
          <cell r="I102" t="str">
            <v>-</v>
          </cell>
        </row>
        <row r="104">
          <cell r="A104" t="str">
            <v>CITY OF BRADY</v>
          </cell>
          <cell r="B104" t="str">
            <v>BRADY</v>
          </cell>
          <cell r="C104" t="str">
            <v>11/01</v>
          </cell>
          <cell r="D104">
            <v>240</v>
          </cell>
          <cell r="E104">
            <v>13784.41</v>
          </cell>
          <cell r="F104">
            <v>-1263.68</v>
          </cell>
          <cell r="G104">
            <v>-57.44</v>
          </cell>
          <cell r="H104">
            <v>-1321.1200000000001</v>
          </cell>
          <cell r="I104">
            <v>12463.289999999999</v>
          </cell>
        </row>
        <row r="105">
          <cell r="E105" t="str">
            <v>-</v>
          </cell>
          <cell r="F105" t="str">
            <v>-</v>
          </cell>
          <cell r="G105" t="str">
            <v>-</v>
          </cell>
          <cell r="H105" t="str">
            <v>-</v>
          </cell>
          <cell r="I105" t="str">
            <v>-</v>
          </cell>
        </row>
        <row r="106">
          <cell r="A106" t="str">
            <v>     SUBTOTALS</v>
          </cell>
          <cell r="B106" t="str">
            <v>BRADY</v>
          </cell>
          <cell r="E106">
            <v>13784.41</v>
          </cell>
          <cell r="F106">
            <v>-1263.68</v>
          </cell>
          <cell r="G106">
            <v>-57.44</v>
          </cell>
          <cell r="H106">
            <v>-1321.1200000000001</v>
          </cell>
          <cell r="I106">
            <v>12463.289999999999</v>
          </cell>
        </row>
        <row r="107">
          <cell r="E107" t="str">
            <v>-</v>
          </cell>
          <cell r="F107" t="str">
            <v>-</v>
          </cell>
          <cell r="G107" t="str">
            <v>-</v>
          </cell>
          <cell r="H107" t="str">
            <v>-</v>
          </cell>
          <cell r="I107" t="str">
            <v>-</v>
          </cell>
        </row>
        <row r="109">
          <cell r="A109" t="str">
            <v>CURTIS BRUEGEL</v>
          </cell>
          <cell r="B109" t="str">
            <v>DIMMITT</v>
          </cell>
          <cell r="C109" t="str">
            <v>6/97</v>
          </cell>
          <cell r="D109">
            <v>240</v>
          </cell>
          <cell r="E109">
            <v>20000</v>
          </cell>
          <cell r="F109">
            <v>-6249.75</v>
          </cell>
          <cell r="G109">
            <v>-83.33</v>
          </cell>
          <cell r="H109">
            <v>-6333.08</v>
          </cell>
          <cell r="I109">
            <v>13666.92</v>
          </cell>
        </row>
        <row r="110">
          <cell r="A110" t="str">
            <v>CATTLAC FEEDYARD</v>
          </cell>
          <cell r="B110" t="str">
            <v>DIMMITT</v>
          </cell>
          <cell r="C110" t="str">
            <v>4/98</v>
          </cell>
          <cell r="D110">
            <v>240</v>
          </cell>
          <cell r="E110">
            <v>21000</v>
          </cell>
          <cell r="F110">
            <v>-5687.5</v>
          </cell>
          <cell r="G110">
            <v>-87.5</v>
          </cell>
          <cell r="H110">
            <v>-5775</v>
          </cell>
          <cell r="I110">
            <v>15225</v>
          </cell>
        </row>
        <row r="111">
          <cell r="A111" t="str">
            <v>JOY RUNYON</v>
          </cell>
          <cell r="B111" t="str">
            <v>DIMMITT</v>
          </cell>
          <cell r="C111" t="str">
            <v>2/99</v>
          </cell>
          <cell r="D111">
            <v>240</v>
          </cell>
          <cell r="E111">
            <v>1622.39</v>
          </cell>
          <cell r="F111">
            <v>-371.8</v>
          </cell>
          <cell r="G111">
            <v>-6.76</v>
          </cell>
          <cell r="H111">
            <v>-378.56</v>
          </cell>
          <cell r="I111">
            <v>1243.8300000000002</v>
          </cell>
        </row>
        <row r="112">
          <cell r="A112" t="str">
            <v>EDDIE HAYDON</v>
          </cell>
          <cell r="B112" t="str">
            <v>DIMMITT</v>
          </cell>
          <cell r="C112" t="str">
            <v>6/99</v>
          </cell>
          <cell r="D112">
            <v>240</v>
          </cell>
          <cell r="E112">
            <v>1355.83</v>
          </cell>
          <cell r="F112">
            <v>-288.15</v>
          </cell>
          <cell r="G112">
            <v>-5.65</v>
          </cell>
          <cell r="H112">
            <v>-293.79999999999995</v>
          </cell>
          <cell r="I112">
            <v>1062.03</v>
          </cell>
        </row>
        <row r="113">
          <cell r="A113" t="str">
            <v>TIM WILHELM</v>
          </cell>
          <cell r="B113" t="str">
            <v>DIMMITT</v>
          </cell>
          <cell r="C113" t="str">
            <v>4/00</v>
          </cell>
          <cell r="D113">
            <v>240</v>
          </cell>
          <cell r="E113">
            <v>419.44</v>
          </cell>
          <cell r="F113">
            <v>-71.75</v>
          </cell>
          <cell r="G113">
            <v>-1.75</v>
          </cell>
          <cell r="H113">
            <v>-73.5</v>
          </cell>
          <cell r="I113">
            <v>345.94</v>
          </cell>
        </row>
        <row r="114">
          <cell r="A114" t="str">
            <v>SIDNEY BIRKENFELD</v>
          </cell>
          <cell r="B114" t="str">
            <v>DIMMITT</v>
          </cell>
          <cell r="C114" t="str">
            <v>2/01</v>
          </cell>
          <cell r="D114">
            <v>240</v>
          </cell>
          <cell r="E114">
            <v>1325.08</v>
          </cell>
          <cell r="F114">
            <v>-171.12</v>
          </cell>
          <cell r="G114">
            <v>-5.52</v>
          </cell>
          <cell r="H114">
            <v>-176.64000000000001</v>
          </cell>
          <cell r="I114">
            <v>1148.4399999999998</v>
          </cell>
        </row>
        <row r="115">
          <cell r="A115" t="str">
            <v>JERRY PETERSON</v>
          </cell>
          <cell r="B115" t="str">
            <v>DIMMITT</v>
          </cell>
          <cell r="C115" t="str">
            <v>2/01</v>
          </cell>
          <cell r="D115">
            <v>240</v>
          </cell>
          <cell r="E115">
            <v>1325.08</v>
          </cell>
          <cell r="F115">
            <v>-171.12</v>
          </cell>
          <cell r="G115">
            <v>-5.52</v>
          </cell>
          <cell r="H115">
            <v>-176.64000000000001</v>
          </cell>
          <cell r="I115">
            <v>1148.4399999999998</v>
          </cell>
        </row>
        <row r="116">
          <cell r="A116" t="str">
            <v>ROBERT MERRITT</v>
          </cell>
          <cell r="B116" t="str">
            <v>DIMMITT</v>
          </cell>
          <cell r="C116" t="str">
            <v>2/01</v>
          </cell>
          <cell r="D116">
            <v>240</v>
          </cell>
          <cell r="E116">
            <v>1987.62</v>
          </cell>
          <cell r="F116">
            <v>-256.68</v>
          </cell>
          <cell r="G116">
            <v>-8.28</v>
          </cell>
          <cell r="H116">
            <v>-264.96</v>
          </cell>
          <cell r="I116">
            <v>1722.6599999999999</v>
          </cell>
        </row>
        <row r="117">
          <cell r="A117" t="str">
            <v>EDDIE HAYDON</v>
          </cell>
          <cell r="B117" t="str">
            <v>DIMMITT</v>
          </cell>
          <cell r="C117" t="str">
            <v>4/01</v>
          </cell>
          <cell r="D117">
            <v>240</v>
          </cell>
          <cell r="E117">
            <v>1649.36</v>
          </cell>
          <cell r="F117">
            <v>-199.23</v>
          </cell>
          <cell r="G117">
            <v>-6.87</v>
          </cell>
          <cell r="H117">
            <v>-206.1</v>
          </cell>
          <cell r="I117">
            <v>1443.26</v>
          </cell>
        </row>
        <row r="118">
          <cell r="A118" t="str">
            <v>LOUIS BOLLINGER TRUST</v>
          </cell>
          <cell r="B118" t="str">
            <v>DIMMITT</v>
          </cell>
          <cell r="C118" t="str">
            <v>5/01</v>
          </cell>
          <cell r="D118">
            <v>240</v>
          </cell>
          <cell r="E118">
            <v>418.19</v>
          </cell>
          <cell r="F118">
            <v>-48.72</v>
          </cell>
          <cell r="G118">
            <v>-1.74</v>
          </cell>
          <cell r="H118">
            <v>-50.46</v>
          </cell>
          <cell r="I118">
            <v>367.73</v>
          </cell>
        </row>
        <row r="119">
          <cell r="A119" t="str">
            <v>LOUIS BOLLINGER</v>
          </cell>
          <cell r="B119" t="str">
            <v>DIMMITT</v>
          </cell>
          <cell r="C119" t="str">
            <v>5/01</v>
          </cell>
          <cell r="D119">
            <v>240</v>
          </cell>
          <cell r="E119">
            <v>418.19</v>
          </cell>
          <cell r="F119">
            <v>-48.72</v>
          </cell>
          <cell r="G119">
            <v>-1.74</v>
          </cell>
          <cell r="H119">
            <v>-50.46</v>
          </cell>
          <cell r="I119">
            <v>367.73</v>
          </cell>
        </row>
        <row r="120">
          <cell r="E120" t="str">
            <v>-</v>
          </cell>
          <cell r="F120" t="str">
            <v>-</v>
          </cell>
          <cell r="G120" t="str">
            <v>-</v>
          </cell>
          <cell r="H120" t="str">
            <v>-</v>
          </cell>
          <cell r="I120" t="str">
            <v>-</v>
          </cell>
        </row>
        <row r="121">
          <cell r="A121" t="str">
            <v>     SUBTOTALS</v>
          </cell>
          <cell r="B121" t="str">
            <v>DIMMITT</v>
          </cell>
          <cell r="E121">
            <v>51521.180000000015</v>
          </cell>
          <cell r="F121">
            <v>-13564.539999999999</v>
          </cell>
          <cell r="G121">
            <v>-214.66000000000003</v>
          </cell>
          <cell r="H121">
            <v>-13779.199999999995</v>
          </cell>
          <cell r="I121">
            <v>37741.98</v>
          </cell>
        </row>
        <row r="122">
          <cell r="E122" t="str">
            <v>-</v>
          </cell>
          <cell r="F122" t="str">
            <v>-</v>
          </cell>
          <cell r="G122" t="str">
            <v>-</v>
          </cell>
          <cell r="H122" t="str">
            <v>-</v>
          </cell>
          <cell r="I122" t="str">
            <v>-</v>
          </cell>
        </row>
        <row r="124">
          <cell r="A124" t="str">
            <v>LLOYD &amp; MICKEY WARREN</v>
          </cell>
          <cell r="B124" t="str">
            <v>MENARD</v>
          </cell>
          <cell r="C124" t="str">
            <v>9/01</v>
          </cell>
          <cell r="D124">
            <v>240</v>
          </cell>
          <cell r="E124">
            <v>5423.1</v>
          </cell>
          <cell r="F124">
            <v>-542.4</v>
          </cell>
          <cell r="G124">
            <v>-22.6</v>
          </cell>
          <cell r="H124">
            <v>-565</v>
          </cell>
          <cell r="I124">
            <v>4858.1</v>
          </cell>
        </row>
        <row r="125">
          <cell r="E125" t="str">
            <v>-</v>
          </cell>
          <cell r="F125" t="str">
            <v>-</v>
          </cell>
          <cell r="G125" t="str">
            <v>-</v>
          </cell>
          <cell r="H125" t="str">
            <v>-</v>
          </cell>
          <cell r="I125" t="str">
            <v>-</v>
          </cell>
        </row>
        <row r="126">
          <cell r="A126" t="str">
            <v>     SUBTOTALS</v>
          </cell>
          <cell r="B126" t="str">
            <v>MENARD</v>
          </cell>
          <cell r="E126">
            <v>5423.1</v>
          </cell>
          <cell r="F126">
            <v>-542.4</v>
          </cell>
          <cell r="G126">
            <v>-22.6</v>
          </cell>
          <cell r="H126">
            <v>-565</v>
          </cell>
          <cell r="I126">
            <v>4858.1</v>
          </cell>
        </row>
        <row r="127">
          <cell r="E127" t="str">
            <v>-</v>
          </cell>
          <cell r="F127" t="str">
            <v>-</v>
          </cell>
          <cell r="G127" t="str">
            <v>-</v>
          </cell>
          <cell r="H127" t="str">
            <v>-</v>
          </cell>
          <cell r="I127" t="str">
            <v>-</v>
          </cell>
        </row>
        <row r="129">
          <cell r="A129" t="str">
            <v>LADD FARMS</v>
          </cell>
          <cell r="B129" t="str">
            <v>GROOM</v>
          </cell>
          <cell r="C129" t="str">
            <v>6/97</v>
          </cell>
          <cell r="D129">
            <v>240</v>
          </cell>
          <cell r="E129">
            <v>2500</v>
          </cell>
          <cell r="F129">
            <v>-781.5</v>
          </cell>
          <cell r="G129">
            <v>-10.42</v>
          </cell>
          <cell r="H129">
            <v>-791.92</v>
          </cell>
          <cell r="I129">
            <v>1708.08</v>
          </cell>
        </row>
        <row r="130">
          <cell r="A130" t="str">
            <v>DANNY FRERICH</v>
          </cell>
          <cell r="B130" t="str">
            <v>GROOM</v>
          </cell>
          <cell r="C130" t="str">
            <v>6/97</v>
          </cell>
          <cell r="D130">
            <v>240</v>
          </cell>
          <cell r="E130">
            <v>5500</v>
          </cell>
          <cell r="F130">
            <v>-1719</v>
          </cell>
          <cell r="G130">
            <v>-22.92</v>
          </cell>
          <cell r="H130">
            <v>-1741.92</v>
          </cell>
          <cell r="I130">
            <v>3758.08</v>
          </cell>
        </row>
        <row r="131">
          <cell r="A131" t="str">
            <v>GPM GAS CORP.</v>
          </cell>
          <cell r="B131" t="str">
            <v>GROOM</v>
          </cell>
          <cell r="C131" t="str">
            <v>10/98</v>
          </cell>
          <cell r="D131">
            <v>240</v>
          </cell>
          <cell r="E131">
            <v>8726.87</v>
          </cell>
          <cell r="F131">
            <v>-2145.24</v>
          </cell>
          <cell r="G131">
            <v>-36.36</v>
          </cell>
          <cell r="H131">
            <v>-2181.6</v>
          </cell>
          <cell r="I131">
            <v>6545.27</v>
          </cell>
        </row>
        <row r="132">
          <cell r="A132" t="str">
            <v>GPM GAS CORP.</v>
          </cell>
          <cell r="B132" t="str">
            <v>GROOM</v>
          </cell>
          <cell r="C132" t="str">
            <v>12/98</v>
          </cell>
          <cell r="D132">
            <v>240</v>
          </cell>
          <cell r="E132">
            <v>85551.87</v>
          </cell>
          <cell r="F132">
            <v>-20318.79</v>
          </cell>
          <cell r="G132">
            <v>-356.47</v>
          </cell>
          <cell r="H132">
            <v>-20675.260000000002</v>
          </cell>
          <cell r="I132">
            <v>64876.60999999999</v>
          </cell>
        </row>
        <row r="133">
          <cell r="A133" t="str">
            <v>TX DOT</v>
          </cell>
          <cell r="B133" t="str">
            <v>GROOM</v>
          </cell>
          <cell r="C133" t="str">
            <v>3/99</v>
          </cell>
          <cell r="D133">
            <v>240</v>
          </cell>
          <cell r="E133">
            <v>10703.06</v>
          </cell>
          <cell r="F133">
            <v>-2408.4</v>
          </cell>
          <cell r="G133">
            <v>-44.6</v>
          </cell>
          <cell r="H133">
            <v>-2453</v>
          </cell>
          <cell r="I133">
            <v>8250.06</v>
          </cell>
        </row>
        <row r="134">
          <cell r="A134" t="str">
            <v>FEROL SHELTON</v>
          </cell>
          <cell r="B134" t="str">
            <v>GROOM</v>
          </cell>
          <cell r="C134" t="str">
            <v>4/99</v>
          </cell>
          <cell r="D134">
            <v>240</v>
          </cell>
          <cell r="E134">
            <v>661.54</v>
          </cell>
          <cell r="F134">
            <v>-146.28</v>
          </cell>
          <cell r="G134">
            <v>-2.76</v>
          </cell>
          <cell r="H134">
            <v>-149.04</v>
          </cell>
          <cell r="I134">
            <v>512.5</v>
          </cell>
        </row>
        <row r="135">
          <cell r="A135" t="str">
            <v>KN MARKETING</v>
          </cell>
          <cell r="B135" t="str">
            <v>GROOM</v>
          </cell>
          <cell r="C135" t="str">
            <v>5/99</v>
          </cell>
          <cell r="D135">
            <v>240</v>
          </cell>
          <cell r="E135">
            <v>264600</v>
          </cell>
          <cell r="F135">
            <v>-57330</v>
          </cell>
          <cell r="G135">
            <v>-1102.5</v>
          </cell>
          <cell r="H135">
            <v>-58432.5</v>
          </cell>
          <cell r="I135">
            <v>206167.5</v>
          </cell>
        </row>
        <row r="136">
          <cell r="A136" t="str">
            <v>RIO HONDO LAND &amp; CATTLE</v>
          </cell>
          <cell r="B136" t="str">
            <v>GROOM</v>
          </cell>
          <cell r="C136" t="str">
            <v>10/01</v>
          </cell>
          <cell r="D136">
            <v>240</v>
          </cell>
          <cell r="E136">
            <v>2000</v>
          </cell>
          <cell r="F136">
            <v>-191.59</v>
          </cell>
          <cell r="G136">
            <v>-8.33</v>
          </cell>
          <cell r="H136">
            <v>-199.92000000000002</v>
          </cell>
          <cell r="I136">
            <v>1800.08</v>
          </cell>
        </row>
        <row r="137">
          <cell r="A137" t="str">
            <v>JON LAIR</v>
          </cell>
          <cell r="B137" t="str">
            <v>GROOM</v>
          </cell>
          <cell r="C137" t="str">
            <v>12/01</v>
          </cell>
          <cell r="D137">
            <v>240</v>
          </cell>
          <cell r="E137">
            <v>8673.25</v>
          </cell>
          <cell r="F137">
            <v>-758.94</v>
          </cell>
          <cell r="G137">
            <v>-36.14</v>
          </cell>
          <cell r="H137">
            <v>-795.08</v>
          </cell>
          <cell r="I137">
            <v>7878.17</v>
          </cell>
        </row>
        <row r="138">
          <cell r="A138" t="str">
            <v>HIGH COUNTRY ESTATE</v>
          </cell>
          <cell r="B138" t="str">
            <v>GROOM</v>
          </cell>
          <cell r="C138" t="str">
            <v>8/03</v>
          </cell>
          <cell r="D138">
            <v>240</v>
          </cell>
          <cell r="E138">
            <v>2215.18</v>
          </cell>
          <cell r="F138">
            <v>-9.23</v>
          </cell>
          <cell r="G138">
            <v>-9.23</v>
          </cell>
          <cell r="H138">
            <v>-18.46</v>
          </cell>
          <cell r="I138">
            <v>2196.72</v>
          </cell>
        </row>
        <row r="139">
          <cell r="A139" t="str">
            <v>HIGH COUNTRY ESTATE</v>
          </cell>
          <cell r="B139" t="str">
            <v>GROOM</v>
          </cell>
          <cell r="C139" t="str">
            <v>8/03</v>
          </cell>
          <cell r="D139">
            <v>240</v>
          </cell>
          <cell r="E139">
            <v>620</v>
          </cell>
          <cell r="F139">
            <v>0</v>
          </cell>
          <cell r="G139">
            <v>-2.58</v>
          </cell>
          <cell r="H139">
            <v>0</v>
          </cell>
          <cell r="I139">
            <v>620</v>
          </cell>
        </row>
        <row r="140">
          <cell r="E140" t="str">
            <v>-</v>
          </cell>
          <cell r="F140" t="str">
            <v>-</v>
          </cell>
          <cell r="G140" t="str">
            <v>-</v>
          </cell>
          <cell r="H140" t="str">
            <v>-</v>
          </cell>
          <cell r="I140" t="str">
            <v>-</v>
          </cell>
        </row>
        <row r="141">
          <cell r="A141" t="str">
            <v>     SUBTOTALS</v>
          </cell>
          <cell r="B141" t="str">
            <v>GROOM</v>
          </cell>
          <cell r="E141">
            <v>391751.76999999996</v>
          </cell>
          <cell r="F141">
            <v>-85808.96999999999</v>
          </cell>
          <cell r="G141">
            <v>-1632.31</v>
          </cell>
          <cell r="H141">
            <v>-87438.70000000001</v>
          </cell>
          <cell r="I141">
            <v>304313.06999999995</v>
          </cell>
        </row>
        <row r="142">
          <cell r="E142" t="str">
            <v>-</v>
          </cell>
          <cell r="F142" t="str">
            <v>-</v>
          </cell>
          <cell r="G142" t="str">
            <v>-</v>
          </cell>
          <cell r="H142" t="str">
            <v>-</v>
          </cell>
          <cell r="I142" t="str">
            <v>-</v>
          </cell>
        </row>
        <row r="144">
          <cell r="A144" t="str">
            <v>CARIBOU OPERATING</v>
          </cell>
          <cell r="B144" t="str">
            <v>JACK COUNTY</v>
          </cell>
          <cell r="C144" t="str">
            <v>3/01</v>
          </cell>
          <cell r="D144">
            <v>240</v>
          </cell>
          <cell r="E144">
            <v>2500</v>
          </cell>
          <cell r="F144">
            <v>-312.6</v>
          </cell>
          <cell r="G144">
            <v>-10.42</v>
          </cell>
          <cell r="H144">
            <v>-323.02000000000004</v>
          </cell>
          <cell r="I144">
            <v>2176.98</v>
          </cell>
        </row>
        <row r="145">
          <cell r="E145" t="str">
            <v>-</v>
          </cell>
          <cell r="F145" t="str">
            <v>-</v>
          </cell>
          <cell r="G145" t="str">
            <v>-</v>
          </cell>
          <cell r="H145" t="str">
            <v>-</v>
          </cell>
          <cell r="I145" t="str">
            <v>-</v>
          </cell>
        </row>
        <row r="146">
          <cell r="A146" t="str">
            <v>     SUBTOTALS</v>
          </cell>
          <cell r="E146">
            <v>2500</v>
          </cell>
          <cell r="F146">
            <v>-312.6</v>
          </cell>
          <cell r="G146">
            <v>-10.42</v>
          </cell>
          <cell r="H146">
            <v>-323.02000000000004</v>
          </cell>
          <cell r="I146">
            <v>2176.98</v>
          </cell>
        </row>
        <row r="147">
          <cell r="E147" t="str">
            <v>-</v>
          </cell>
          <cell r="F147" t="str">
            <v>-</v>
          </cell>
          <cell r="G147" t="str">
            <v>-</v>
          </cell>
          <cell r="H147" t="str">
            <v>-</v>
          </cell>
          <cell r="I147" t="str">
            <v>-</v>
          </cell>
        </row>
        <row r="149">
          <cell r="A149" t="str">
            <v>TEXAS FARMS</v>
          </cell>
          <cell r="B149" t="str">
            <v>CANADIAN</v>
          </cell>
          <cell r="C149" t="str">
            <v>6/97</v>
          </cell>
          <cell r="D149">
            <v>240</v>
          </cell>
          <cell r="E149">
            <v>50560.56</v>
          </cell>
          <cell r="F149">
            <v>-15800.25</v>
          </cell>
          <cell r="G149">
            <v>-210.67</v>
          </cell>
          <cell r="H149">
            <v>-16010.92</v>
          </cell>
          <cell r="I149">
            <v>34549.64</v>
          </cell>
        </row>
        <row r="150">
          <cell r="A150" t="str">
            <v>TEXAS FARMS</v>
          </cell>
          <cell r="B150" t="str">
            <v>CANADIAN</v>
          </cell>
          <cell r="C150" t="str">
            <v>6/97</v>
          </cell>
          <cell r="D150">
            <v>240</v>
          </cell>
          <cell r="E150">
            <v>91318.77</v>
          </cell>
          <cell r="F150">
            <v>-28536.75</v>
          </cell>
          <cell r="G150">
            <v>-380.49</v>
          </cell>
          <cell r="H150">
            <v>-28917.24</v>
          </cell>
          <cell r="I150">
            <v>62401.53</v>
          </cell>
        </row>
        <row r="151">
          <cell r="A151" t="str">
            <v>TEXAS FARMS</v>
          </cell>
          <cell r="B151" t="str">
            <v>CANADIAN</v>
          </cell>
          <cell r="C151" t="str">
            <v>10/97</v>
          </cell>
          <cell r="D151">
            <v>240</v>
          </cell>
          <cell r="E151">
            <v>214226.77</v>
          </cell>
          <cell r="F151">
            <v>-63375.31</v>
          </cell>
          <cell r="G151">
            <v>-892.61</v>
          </cell>
          <cell r="H151">
            <v>-64267.92</v>
          </cell>
          <cell r="I151">
            <v>149958.84999999998</v>
          </cell>
        </row>
        <row r="152">
          <cell r="A152" t="str">
            <v>TEXAS FARMS</v>
          </cell>
          <cell r="B152" t="str">
            <v>CANADIAN</v>
          </cell>
          <cell r="C152" t="str">
            <v>1/98</v>
          </cell>
          <cell r="D152">
            <v>240</v>
          </cell>
          <cell r="E152">
            <v>55141.11</v>
          </cell>
          <cell r="F152">
            <v>-15623</v>
          </cell>
          <cell r="G152">
            <v>-229.75</v>
          </cell>
          <cell r="H152">
            <v>-15852.75</v>
          </cell>
          <cell r="I152">
            <v>39288.36</v>
          </cell>
        </row>
        <row r="153">
          <cell r="A153" t="str">
            <v>TEXAS FARMS</v>
          </cell>
          <cell r="B153" t="str">
            <v>CANADIAN</v>
          </cell>
          <cell r="C153" t="str">
            <v>1/98</v>
          </cell>
          <cell r="D153">
            <v>240</v>
          </cell>
          <cell r="E153">
            <v>30646.38</v>
          </cell>
          <cell r="F153">
            <v>-8682.92</v>
          </cell>
          <cell r="G153">
            <v>-127.69</v>
          </cell>
          <cell r="H153">
            <v>-8810.61</v>
          </cell>
          <cell r="I153">
            <v>21835.77</v>
          </cell>
        </row>
        <row r="154">
          <cell r="A154" t="str">
            <v>BRIGHAM OIL &amp; GAS</v>
          </cell>
          <cell r="B154" t="str">
            <v>CANADIAN</v>
          </cell>
          <cell r="C154" t="str">
            <v>1/98</v>
          </cell>
          <cell r="D154">
            <v>240</v>
          </cell>
          <cell r="E154">
            <v>4000</v>
          </cell>
          <cell r="F154">
            <v>-1133.56</v>
          </cell>
          <cell r="G154">
            <v>-16.67</v>
          </cell>
          <cell r="H154">
            <v>-1150.23</v>
          </cell>
          <cell r="I154">
            <v>2849.77</v>
          </cell>
        </row>
        <row r="155">
          <cell r="A155" t="str">
            <v>TEXAS FARMS</v>
          </cell>
          <cell r="B155" t="str">
            <v>CANADIAN</v>
          </cell>
          <cell r="C155" t="str">
            <v>10/99</v>
          </cell>
          <cell r="D155">
            <v>240</v>
          </cell>
          <cell r="E155">
            <v>61407.55</v>
          </cell>
          <cell r="F155">
            <v>-12025.42</v>
          </cell>
          <cell r="G155">
            <v>-255.86</v>
          </cell>
          <cell r="H155">
            <v>-12281.28</v>
          </cell>
          <cell r="I155">
            <v>49126.270000000004</v>
          </cell>
        </row>
        <row r="156">
          <cell r="A156" t="str">
            <v>TEXAS FARMS</v>
          </cell>
          <cell r="B156" t="str">
            <v>CANADIAN</v>
          </cell>
          <cell r="C156" t="str">
            <v>12/99</v>
          </cell>
          <cell r="D156">
            <v>240</v>
          </cell>
          <cell r="E156">
            <v>6042.53</v>
          </cell>
          <cell r="F156">
            <v>-1133.1</v>
          </cell>
          <cell r="G156">
            <v>-25.18</v>
          </cell>
          <cell r="H156">
            <v>-1158.28</v>
          </cell>
          <cell r="I156">
            <v>4884.25</v>
          </cell>
        </row>
        <row r="157">
          <cell r="A157" t="str">
            <v>TEXAS FARMS</v>
          </cell>
          <cell r="B157" t="str">
            <v>CANADIAN</v>
          </cell>
          <cell r="C157" t="str">
            <v>12/99</v>
          </cell>
          <cell r="D157">
            <v>240</v>
          </cell>
          <cell r="E157">
            <v>47306.23</v>
          </cell>
          <cell r="F157">
            <v>-8869.95</v>
          </cell>
          <cell r="G157">
            <v>-197.11</v>
          </cell>
          <cell r="H157">
            <v>-9067.060000000001</v>
          </cell>
          <cell r="I157">
            <v>38239.17</v>
          </cell>
        </row>
        <row r="158">
          <cell r="A158" t="str">
            <v>G.M. WALLS &amp; SONS</v>
          </cell>
          <cell r="B158" t="str">
            <v>CANADIAN</v>
          </cell>
          <cell r="C158" t="str">
            <v>3/00</v>
          </cell>
          <cell r="D158">
            <v>240</v>
          </cell>
          <cell r="E158">
            <v>2000</v>
          </cell>
          <cell r="F158">
            <v>-349.86</v>
          </cell>
          <cell r="G158">
            <v>-8.33</v>
          </cell>
          <cell r="H158">
            <v>-358.19</v>
          </cell>
          <cell r="I158">
            <v>1641.81</v>
          </cell>
        </row>
        <row r="159">
          <cell r="A159" t="str">
            <v>KELLY BROWN</v>
          </cell>
          <cell r="B159" t="str">
            <v>CANADIAN</v>
          </cell>
          <cell r="C159" t="str">
            <v>3/02</v>
          </cell>
          <cell r="D159">
            <v>240</v>
          </cell>
          <cell r="E159">
            <v>4918</v>
          </cell>
          <cell r="F159">
            <v>-368.82</v>
          </cell>
          <cell r="G159">
            <v>-20.49</v>
          </cell>
          <cell r="H159">
            <v>-389.31</v>
          </cell>
          <cell r="I159">
            <v>4528.69</v>
          </cell>
        </row>
        <row r="160">
          <cell r="A160" t="str">
            <v>PHILLIP &amp; LINDA ROGERS</v>
          </cell>
          <cell r="B160" t="str">
            <v>CANADIAN</v>
          </cell>
          <cell r="C160" t="str">
            <v>4/02</v>
          </cell>
          <cell r="D160">
            <v>240</v>
          </cell>
          <cell r="E160">
            <v>3915.4</v>
          </cell>
          <cell r="F160">
            <v>-277.27</v>
          </cell>
          <cell r="G160">
            <v>-16.31</v>
          </cell>
          <cell r="H160">
            <v>-293.58</v>
          </cell>
          <cell r="I160">
            <v>3621.82</v>
          </cell>
        </row>
        <row r="161">
          <cell r="E161" t="str">
            <v>-</v>
          </cell>
          <cell r="F161" t="str">
            <v>-</v>
          </cell>
          <cell r="G161" t="str">
            <v>-</v>
          </cell>
          <cell r="H161" t="str">
            <v>-</v>
          </cell>
          <cell r="I161" t="str">
            <v>-</v>
          </cell>
        </row>
        <row r="162">
          <cell r="A162" t="str">
            <v>     SUBTOTALS</v>
          </cell>
          <cell r="B162" t="str">
            <v>CANADIAN</v>
          </cell>
          <cell r="E162">
            <v>571483.3</v>
          </cell>
          <cell r="F162">
            <v>-156176.21000000002</v>
          </cell>
          <cell r="G162">
            <v>-2381.16</v>
          </cell>
          <cell r="H162">
            <v>-158557.37</v>
          </cell>
          <cell r="I162">
            <v>412925.93</v>
          </cell>
        </row>
        <row r="163">
          <cell r="E163" t="str">
            <v>-</v>
          </cell>
          <cell r="F163" t="str">
            <v>-</v>
          </cell>
          <cell r="G163" t="str">
            <v>-</v>
          </cell>
          <cell r="H163" t="str">
            <v>-</v>
          </cell>
          <cell r="I163" t="str">
            <v>-</v>
          </cell>
        </row>
        <row r="165">
          <cell r="A165" t="str">
            <v>THE EXPLORATION CO.</v>
          </cell>
          <cell r="B165" t="str">
            <v>TGU SYSTEM</v>
          </cell>
          <cell r="C165" t="str">
            <v>2/98</v>
          </cell>
          <cell r="D165">
            <v>240</v>
          </cell>
          <cell r="E165">
            <v>6000</v>
          </cell>
          <cell r="F165">
            <v>-1675</v>
          </cell>
          <cell r="G165">
            <v>-25</v>
          </cell>
          <cell r="H165">
            <v>-1700</v>
          </cell>
          <cell r="I165">
            <v>4300</v>
          </cell>
        </row>
        <row r="166">
          <cell r="A166" t="str">
            <v>SOJOURNER DRILLING</v>
          </cell>
          <cell r="B166" t="str">
            <v>TGU SYSTEM</v>
          </cell>
          <cell r="C166" t="str">
            <v>2/02</v>
          </cell>
          <cell r="D166">
            <v>240</v>
          </cell>
          <cell r="E166">
            <v>1351.39</v>
          </cell>
          <cell r="F166">
            <v>-106.97</v>
          </cell>
          <cell r="G166">
            <v>-5.63</v>
          </cell>
          <cell r="H166">
            <v>-112.6</v>
          </cell>
          <cell r="I166">
            <v>1238.7900000000002</v>
          </cell>
        </row>
        <row r="167">
          <cell r="A167" t="str">
            <v>THE EXPLORATION CO.</v>
          </cell>
          <cell r="B167" t="str">
            <v>TGU SYSTEM</v>
          </cell>
          <cell r="C167" t="str">
            <v>4/02</v>
          </cell>
          <cell r="D167">
            <v>240</v>
          </cell>
          <cell r="E167">
            <v>1102.99</v>
          </cell>
          <cell r="F167">
            <v>-78.2</v>
          </cell>
          <cell r="G167">
            <v>-4.6</v>
          </cell>
          <cell r="H167">
            <v>-82.8</v>
          </cell>
          <cell r="I167">
            <v>1020.19</v>
          </cell>
        </row>
        <row r="168">
          <cell r="A168" t="str">
            <v>MAVERICK COUNTY</v>
          </cell>
          <cell r="B168" t="str">
            <v>TGU SYSTEM</v>
          </cell>
          <cell r="C168" t="str">
            <v>4/02</v>
          </cell>
          <cell r="D168">
            <v>240</v>
          </cell>
          <cell r="E168">
            <v>4000</v>
          </cell>
          <cell r="F168">
            <v>-283.39</v>
          </cell>
          <cell r="G168">
            <v>-16.67</v>
          </cell>
          <cell r="H168">
            <v>-300.06</v>
          </cell>
          <cell r="I168">
            <v>3699.94</v>
          </cell>
        </row>
        <row r="169">
          <cell r="A169" t="str">
            <v>AROC, INC</v>
          </cell>
          <cell r="B169" t="str">
            <v>TGU SYSTEM</v>
          </cell>
          <cell r="C169" t="str">
            <v>12/02</v>
          </cell>
          <cell r="D169">
            <v>240</v>
          </cell>
          <cell r="E169">
            <v>5702.35</v>
          </cell>
          <cell r="F169">
            <v>-213.84</v>
          </cell>
          <cell r="G169">
            <v>-23.76</v>
          </cell>
          <cell r="H169">
            <v>-237.6</v>
          </cell>
          <cell r="I169">
            <v>5464.75</v>
          </cell>
        </row>
        <row r="170">
          <cell r="E170" t="str">
            <v>-</v>
          </cell>
          <cell r="F170" t="str">
            <v>-</v>
          </cell>
          <cell r="G170" t="str">
            <v>-</v>
          </cell>
          <cell r="H170" t="str">
            <v>-</v>
          </cell>
          <cell r="I170" t="str">
            <v>-</v>
          </cell>
        </row>
        <row r="171">
          <cell r="A171" t="str">
            <v>     SUBTOTALS</v>
          </cell>
          <cell r="B171" t="str">
            <v>TGU SYSTEM</v>
          </cell>
          <cell r="E171">
            <v>18156.730000000003</v>
          </cell>
          <cell r="F171">
            <v>-2357.4</v>
          </cell>
          <cell r="G171">
            <v>-75.66</v>
          </cell>
          <cell r="H171">
            <v>-2433.06</v>
          </cell>
          <cell r="I171">
            <v>15723.67</v>
          </cell>
        </row>
        <row r="172">
          <cell r="E172" t="str">
            <v>-</v>
          </cell>
          <cell r="F172" t="str">
            <v>-</v>
          </cell>
          <cell r="G172" t="str">
            <v>-</v>
          </cell>
          <cell r="H172" t="str">
            <v>-</v>
          </cell>
          <cell r="I172" t="str">
            <v>-</v>
          </cell>
        </row>
        <row r="174">
          <cell r="A174" t="str">
            <v>OK DEPT OF TRANSP.</v>
          </cell>
          <cell r="B174" t="str">
            <v>GUYMON</v>
          </cell>
          <cell r="C174" t="str">
            <v>12/99</v>
          </cell>
          <cell r="D174">
            <v>240</v>
          </cell>
          <cell r="E174">
            <v>7871.75</v>
          </cell>
          <cell r="F174">
            <v>-1476</v>
          </cell>
          <cell r="G174">
            <v>-32.8</v>
          </cell>
          <cell r="H174">
            <v>-1508.8</v>
          </cell>
          <cell r="I174">
            <v>6362.95</v>
          </cell>
        </row>
        <row r="175">
          <cell r="A175" t="str">
            <v>OK DEPT OF TRANSP.</v>
          </cell>
          <cell r="B175" t="str">
            <v>GUYMON</v>
          </cell>
          <cell r="C175" t="str">
            <v>12/99</v>
          </cell>
          <cell r="D175">
            <v>240</v>
          </cell>
          <cell r="E175">
            <v>5978.65</v>
          </cell>
          <cell r="F175">
            <v>-1120.95</v>
          </cell>
          <cell r="G175">
            <v>-24.91</v>
          </cell>
          <cell r="H175">
            <v>-1145.8600000000001</v>
          </cell>
          <cell r="I175">
            <v>4832.789999999999</v>
          </cell>
        </row>
        <row r="176">
          <cell r="A176" t="str">
            <v>OK DEPT OF TRANSP.</v>
          </cell>
          <cell r="B176" t="str">
            <v>GUYMON</v>
          </cell>
          <cell r="C176" t="str">
            <v>1/00</v>
          </cell>
          <cell r="D176">
            <v>240</v>
          </cell>
          <cell r="E176">
            <v>10405.6</v>
          </cell>
          <cell r="F176">
            <v>-1907.84</v>
          </cell>
          <cell r="G176">
            <v>-43.36</v>
          </cell>
          <cell r="H176">
            <v>-1951.1999999999998</v>
          </cell>
          <cell r="I176">
            <v>8454.400000000001</v>
          </cell>
        </row>
        <row r="177">
          <cell r="A177" t="str">
            <v>OK DEPT OF TRANSP.</v>
          </cell>
          <cell r="B177" t="str">
            <v>GUYMON</v>
          </cell>
          <cell r="C177" t="str">
            <v>5/00</v>
          </cell>
          <cell r="D177">
            <v>240</v>
          </cell>
          <cell r="E177">
            <v>31672.18</v>
          </cell>
          <cell r="F177">
            <v>-5278.8</v>
          </cell>
          <cell r="G177">
            <v>-131.97</v>
          </cell>
          <cell r="H177">
            <v>-5410.77</v>
          </cell>
          <cell r="I177">
            <v>26261.41</v>
          </cell>
        </row>
        <row r="178">
          <cell r="A178" t="str">
            <v>OK DEPT OF TRANSP.</v>
          </cell>
          <cell r="B178" t="str">
            <v>GUYMON</v>
          </cell>
          <cell r="C178" t="str">
            <v>8/00</v>
          </cell>
          <cell r="D178">
            <v>240</v>
          </cell>
          <cell r="E178">
            <v>57162.36</v>
          </cell>
          <cell r="F178">
            <v>-8812.66</v>
          </cell>
          <cell r="G178">
            <v>-238.18</v>
          </cell>
          <cell r="H178">
            <v>-9050.84</v>
          </cell>
          <cell r="I178">
            <v>48111.520000000004</v>
          </cell>
        </row>
        <row r="179">
          <cell r="A179" t="str">
            <v>OK DEPT OF TRANSP.</v>
          </cell>
          <cell r="B179" t="str">
            <v>GUYMON</v>
          </cell>
          <cell r="C179" t="str">
            <v>2/01</v>
          </cell>
          <cell r="D179">
            <v>240</v>
          </cell>
          <cell r="E179">
            <v>3880</v>
          </cell>
          <cell r="F179">
            <v>-501.27</v>
          </cell>
          <cell r="G179">
            <v>-16.17</v>
          </cell>
          <cell r="H179">
            <v>-517.4399999999999</v>
          </cell>
          <cell r="I179">
            <v>3362.56</v>
          </cell>
        </row>
        <row r="180">
          <cell r="A180" t="str">
            <v>OK DEPT OF TRANSP.</v>
          </cell>
          <cell r="B180" t="str">
            <v>GUYMON</v>
          </cell>
          <cell r="C180" t="str">
            <v>2/01</v>
          </cell>
          <cell r="D180">
            <v>240</v>
          </cell>
          <cell r="E180">
            <v>4845.57</v>
          </cell>
          <cell r="F180">
            <v>-625.89</v>
          </cell>
          <cell r="G180">
            <v>-20.19</v>
          </cell>
          <cell r="H180">
            <v>-646.08</v>
          </cell>
          <cell r="I180">
            <v>4199.49</v>
          </cell>
        </row>
        <row r="181">
          <cell r="A181" t="str">
            <v>OK DEPT OF TRANSP.</v>
          </cell>
          <cell r="B181" t="str">
            <v>GUYMON</v>
          </cell>
          <cell r="C181" t="str">
            <v>2/01</v>
          </cell>
          <cell r="D181">
            <v>240</v>
          </cell>
          <cell r="E181">
            <v>3602.42</v>
          </cell>
          <cell r="F181">
            <v>-465.31</v>
          </cell>
          <cell r="G181">
            <v>-15.01</v>
          </cell>
          <cell r="H181">
            <v>-480.32</v>
          </cell>
          <cell r="I181">
            <v>3122.1</v>
          </cell>
        </row>
        <row r="182">
          <cell r="A182" t="str">
            <v>OK DEPT OF TRANSP.</v>
          </cell>
          <cell r="B182" t="str">
            <v>GUYMON</v>
          </cell>
          <cell r="C182" t="str">
            <v>7/01</v>
          </cell>
          <cell r="D182">
            <v>240</v>
          </cell>
          <cell r="E182">
            <v>2395</v>
          </cell>
          <cell r="F182">
            <v>-259.48</v>
          </cell>
          <cell r="G182">
            <v>-9.98</v>
          </cell>
          <cell r="H182">
            <v>-269.46000000000004</v>
          </cell>
          <cell r="I182">
            <v>2125.54</v>
          </cell>
        </row>
        <row r="183">
          <cell r="A183" t="str">
            <v>STATE OF OKLAHOMA</v>
          </cell>
          <cell r="B183" t="str">
            <v>GUYMON</v>
          </cell>
          <cell r="C183" t="str">
            <v>11/01</v>
          </cell>
          <cell r="D183">
            <v>240</v>
          </cell>
          <cell r="E183">
            <v>20673.84</v>
          </cell>
          <cell r="F183">
            <v>-1895.08</v>
          </cell>
          <cell r="G183">
            <v>-86.14</v>
          </cell>
          <cell r="H183">
            <v>-1981.22</v>
          </cell>
          <cell r="I183">
            <v>18692.62</v>
          </cell>
        </row>
        <row r="184">
          <cell r="A184" t="str">
            <v>OK DEPT OF TRANSP.</v>
          </cell>
          <cell r="B184" t="str">
            <v>GUYMON</v>
          </cell>
          <cell r="C184" t="str">
            <v>1/02</v>
          </cell>
          <cell r="D184">
            <v>240</v>
          </cell>
          <cell r="E184">
            <v>3244.12</v>
          </cell>
          <cell r="F184">
            <v>-270.4</v>
          </cell>
          <cell r="G184">
            <v>-13.52</v>
          </cell>
          <cell r="H184">
            <v>-283.91999999999996</v>
          </cell>
          <cell r="I184">
            <v>2960.2</v>
          </cell>
        </row>
        <row r="185">
          <cell r="A185" t="str">
            <v>STATE OF OKLAHOMA</v>
          </cell>
          <cell r="B185" t="str">
            <v>GUYMON</v>
          </cell>
          <cell r="C185" t="str">
            <v>9/02</v>
          </cell>
          <cell r="D185">
            <v>240</v>
          </cell>
          <cell r="E185">
            <v>400.27</v>
          </cell>
          <cell r="F185">
            <v>-20.04</v>
          </cell>
          <cell r="G185">
            <v>-1.67</v>
          </cell>
          <cell r="H185">
            <v>-21.71</v>
          </cell>
          <cell r="I185">
            <v>378.56</v>
          </cell>
        </row>
        <row r="186">
          <cell r="E186" t="str">
            <v>-</v>
          </cell>
          <cell r="F186" t="str">
            <v>-</v>
          </cell>
          <cell r="G186" t="str">
            <v>-</v>
          </cell>
          <cell r="H186" t="str">
            <v>-</v>
          </cell>
          <cell r="I186" t="str">
            <v>-</v>
          </cell>
        </row>
        <row r="187">
          <cell r="A187" t="str">
            <v>     SUBTOTALS</v>
          </cell>
          <cell r="B187" t="str">
            <v>GUYMON</v>
          </cell>
          <cell r="E187">
            <v>152131.76</v>
          </cell>
          <cell r="F187">
            <v>-22633.72</v>
          </cell>
          <cell r="G187">
            <v>-633.9</v>
          </cell>
          <cell r="H187">
            <v>-23267.62</v>
          </cell>
          <cell r="I187">
            <v>128864.14</v>
          </cell>
        </row>
        <row r="188">
          <cell r="E188" t="str">
            <v>-</v>
          </cell>
          <cell r="F188" t="str">
            <v>-</v>
          </cell>
          <cell r="G188" t="str">
            <v>-</v>
          </cell>
          <cell r="H188" t="str">
            <v>-</v>
          </cell>
          <cell r="I188" t="str">
            <v>-</v>
          </cell>
        </row>
        <row r="190">
          <cell r="A190" t="str">
            <v>SEABOARD FARMS</v>
          </cell>
          <cell r="B190" t="str">
            <v>HOOKER</v>
          </cell>
          <cell r="C190" t="str">
            <v>6/97</v>
          </cell>
          <cell r="D190">
            <v>240</v>
          </cell>
          <cell r="E190">
            <v>32162.59</v>
          </cell>
          <cell r="F190">
            <v>-10050.75</v>
          </cell>
          <cell r="G190">
            <v>-134.01</v>
          </cell>
          <cell r="H190">
            <v>-10184.76</v>
          </cell>
          <cell r="I190">
            <v>21977.83</v>
          </cell>
        </row>
        <row r="191">
          <cell r="A191" t="str">
            <v>SEABOARD FARMS</v>
          </cell>
          <cell r="B191" t="str">
            <v>HOOKER</v>
          </cell>
          <cell r="C191" t="str">
            <v>6/97</v>
          </cell>
          <cell r="D191">
            <v>240</v>
          </cell>
          <cell r="E191">
            <v>5975.65</v>
          </cell>
          <cell r="F191">
            <v>-1867.5</v>
          </cell>
          <cell r="G191">
            <v>-24.9</v>
          </cell>
          <cell r="H191">
            <v>-1892.4</v>
          </cell>
          <cell r="I191">
            <v>4083.2499999999995</v>
          </cell>
        </row>
        <row r="192">
          <cell r="A192" t="str">
            <v>SEABOARD FARMS</v>
          </cell>
          <cell r="B192" t="str">
            <v>HOOKER</v>
          </cell>
          <cell r="C192" t="str">
            <v>6/97</v>
          </cell>
          <cell r="D192">
            <v>240</v>
          </cell>
          <cell r="E192">
            <v>4238.54</v>
          </cell>
          <cell r="F192">
            <v>-1324.5</v>
          </cell>
          <cell r="G192">
            <v>-17.66</v>
          </cell>
          <cell r="H192">
            <v>-1342.16</v>
          </cell>
          <cell r="I192">
            <v>2896.38</v>
          </cell>
        </row>
        <row r="193">
          <cell r="A193" t="str">
            <v>SEABOARD FARMS</v>
          </cell>
          <cell r="B193" t="str">
            <v>HOOKER</v>
          </cell>
          <cell r="C193" t="str">
            <v>6/97</v>
          </cell>
          <cell r="D193">
            <v>240</v>
          </cell>
          <cell r="E193">
            <v>11713.01</v>
          </cell>
          <cell r="F193">
            <v>-3660</v>
          </cell>
          <cell r="G193">
            <v>-48.8</v>
          </cell>
          <cell r="H193">
            <v>-3708.8</v>
          </cell>
          <cell r="I193">
            <v>8004.21</v>
          </cell>
        </row>
        <row r="194">
          <cell r="A194" t="str">
            <v>SEABOARD FARMS</v>
          </cell>
          <cell r="B194" t="str">
            <v>HOOKER</v>
          </cell>
          <cell r="C194" t="str">
            <v>6/97</v>
          </cell>
          <cell r="D194">
            <v>240</v>
          </cell>
          <cell r="E194">
            <v>9915.42</v>
          </cell>
          <cell r="F194">
            <v>-3098.25</v>
          </cell>
          <cell r="G194">
            <v>-41.31</v>
          </cell>
          <cell r="H194">
            <v>-3139.56</v>
          </cell>
          <cell r="I194">
            <v>6775.860000000001</v>
          </cell>
        </row>
        <row r="195">
          <cell r="A195" t="str">
            <v>SEABOARD FARMS</v>
          </cell>
          <cell r="B195" t="str">
            <v>HOOKER</v>
          </cell>
          <cell r="C195" t="str">
            <v>6/97</v>
          </cell>
          <cell r="D195">
            <v>240</v>
          </cell>
          <cell r="E195">
            <v>201298.63</v>
          </cell>
          <cell r="F195">
            <v>-62905.5</v>
          </cell>
          <cell r="G195">
            <v>-838.74</v>
          </cell>
          <cell r="H195">
            <v>-63744.24</v>
          </cell>
          <cell r="I195">
            <v>137554.39</v>
          </cell>
        </row>
        <row r="196">
          <cell r="A196" t="str">
            <v>JOHN METCALF</v>
          </cell>
          <cell r="B196" t="str">
            <v>HOOKER</v>
          </cell>
          <cell r="C196" t="str">
            <v>3/98</v>
          </cell>
          <cell r="D196">
            <v>240</v>
          </cell>
          <cell r="E196">
            <v>2500</v>
          </cell>
          <cell r="F196">
            <v>-687.72</v>
          </cell>
          <cell r="G196">
            <v>-10.42</v>
          </cell>
          <cell r="H196">
            <v>-698.14</v>
          </cell>
          <cell r="I196">
            <v>1801.8600000000001</v>
          </cell>
        </row>
        <row r="197">
          <cell r="A197" t="str">
            <v>SEABOARD FARMS</v>
          </cell>
          <cell r="B197" t="str">
            <v>BEAVER</v>
          </cell>
          <cell r="C197" t="str">
            <v>6/98</v>
          </cell>
          <cell r="D197">
            <v>240</v>
          </cell>
          <cell r="E197">
            <v>143579.45</v>
          </cell>
          <cell r="F197">
            <v>-37689.75</v>
          </cell>
          <cell r="G197">
            <v>-598.25</v>
          </cell>
          <cell r="H197">
            <v>-38288</v>
          </cell>
          <cell r="I197">
            <v>105291.45000000001</v>
          </cell>
        </row>
        <row r="198">
          <cell r="A198" t="str">
            <v>SEABOARD FARMS</v>
          </cell>
          <cell r="B198" t="str">
            <v>BEAVER</v>
          </cell>
          <cell r="C198" t="str">
            <v>10/98</v>
          </cell>
          <cell r="D198">
            <v>240</v>
          </cell>
          <cell r="E198">
            <v>58733.03</v>
          </cell>
          <cell r="F198">
            <v>-14438.48</v>
          </cell>
          <cell r="G198">
            <v>-244.72</v>
          </cell>
          <cell r="H198">
            <v>-14683.199999999999</v>
          </cell>
          <cell r="I198">
            <v>44049.83</v>
          </cell>
        </row>
        <row r="199">
          <cell r="A199" t="str">
            <v>SEABOARD FARMS</v>
          </cell>
          <cell r="B199" t="str">
            <v>HOOKER</v>
          </cell>
          <cell r="C199" t="str">
            <v>1/99</v>
          </cell>
          <cell r="D199">
            <v>240</v>
          </cell>
          <cell r="E199">
            <v>31102.29</v>
          </cell>
          <cell r="F199">
            <v>-7386.63</v>
          </cell>
          <cell r="G199">
            <v>-129.59</v>
          </cell>
          <cell r="H199">
            <v>-7516.22</v>
          </cell>
          <cell r="I199">
            <v>23586.07</v>
          </cell>
        </row>
        <row r="200">
          <cell r="A200" t="str">
            <v>DWAYNE COLVIN</v>
          </cell>
          <cell r="B200" t="str">
            <v>HOOKER</v>
          </cell>
          <cell r="C200" t="str">
            <v>11/99</v>
          </cell>
          <cell r="D200">
            <v>240</v>
          </cell>
          <cell r="E200">
            <v>2500</v>
          </cell>
          <cell r="F200">
            <v>-479.32</v>
          </cell>
          <cell r="G200">
            <v>-10.42</v>
          </cell>
          <cell r="H200">
            <v>-489.74</v>
          </cell>
          <cell r="I200">
            <v>2010.26</v>
          </cell>
        </row>
        <row r="201">
          <cell r="A201" t="str">
            <v>SEABOARD FARMS</v>
          </cell>
          <cell r="B201" t="str">
            <v>BEAVER</v>
          </cell>
          <cell r="C201" t="str">
            <v>12/99</v>
          </cell>
          <cell r="D201">
            <v>240</v>
          </cell>
          <cell r="E201">
            <v>122517.24</v>
          </cell>
          <cell r="F201">
            <v>-22972.05</v>
          </cell>
          <cell r="G201">
            <v>-510.49</v>
          </cell>
          <cell r="H201">
            <v>-23482.54</v>
          </cell>
          <cell r="I201">
            <v>99034.70000000001</v>
          </cell>
        </row>
        <row r="202">
          <cell r="A202" t="str">
            <v>LAND O' LAKES</v>
          </cell>
          <cell r="B202" t="str">
            <v>BEAVER</v>
          </cell>
          <cell r="C202" t="str">
            <v>12/99</v>
          </cell>
          <cell r="D202">
            <v>240</v>
          </cell>
          <cell r="E202">
            <v>8290.41</v>
          </cell>
          <cell r="F202">
            <v>-1554.3</v>
          </cell>
          <cell r="G202">
            <v>-34.54</v>
          </cell>
          <cell r="H202">
            <v>-1588.84</v>
          </cell>
          <cell r="I202">
            <v>6701.57</v>
          </cell>
        </row>
        <row r="203">
          <cell r="A203" t="str">
            <v>MURPHY FARMS</v>
          </cell>
          <cell r="B203" t="str">
            <v>BEAVER</v>
          </cell>
          <cell r="C203" t="str">
            <v>10/02</v>
          </cell>
          <cell r="D203">
            <v>240</v>
          </cell>
          <cell r="E203">
            <v>11594.53</v>
          </cell>
          <cell r="F203">
            <v>-531.41</v>
          </cell>
          <cell r="G203">
            <v>-48.31</v>
          </cell>
          <cell r="H203">
            <v>-579.72</v>
          </cell>
          <cell r="I203">
            <v>11014.810000000001</v>
          </cell>
        </row>
        <row r="204">
          <cell r="E204" t="str">
            <v>-</v>
          </cell>
          <cell r="F204" t="str">
            <v>-</v>
          </cell>
          <cell r="G204" t="str">
            <v>-</v>
          </cell>
          <cell r="H204" t="str">
            <v>-</v>
          </cell>
          <cell r="I204" t="str">
            <v>-</v>
          </cell>
        </row>
        <row r="205">
          <cell r="A205" t="str">
            <v>     SUBTOTALS</v>
          </cell>
          <cell r="B205" t="str">
            <v>BEAVER/HOOKER</v>
          </cell>
          <cell r="E205">
            <v>646120.7900000002</v>
          </cell>
          <cell r="F205">
            <v>-168646.16</v>
          </cell>
          <cell r="G205">
            <v>-2692.1600000000003</v>
          </cell>
          <cell r="H205">
            <v>-171338.32</v>
          </cell>
          <cell r="I205">
            <v>474782.47000000003</v>
          </cell>
        </row>
        <row r="206">
          <cell r="E206" t="str">
            <v>-</v>
          </cell>
          <cell r="F206" t="str">
            <v>-</v>
          </cell>
          <cell r="G206" t="str">
            <v>-</v>
          </cell>
          <cell r="H206" t="str">
            <v>-</v>
          </cell>
          <cell r="I206" t="str">
            <v>-</v>
          </cell>
        </row>
        <row r="208">
          <cell r="A208" t="str">
            <v>SEABOARD FARMS</v>
          </cell>
          <cell r="B208" t="str">
            <v>TEXHOMA</v>
          </cell>
          <cell r="C208" t="str">
            <v>6/97</v>
          </cell>
          <cell r="D208">
            <v>240</v>
          </cell>
          <cell r="E208">
            <v>111575.58</v>
          </cell>
          <cell r="F208">
            <v>-34867.5</v>
          </cell>
          <cell r="G208">
            <v>-464.9</v>
          </cell>
          <cell r="H208">
            <v>-35332.4</v>
          </cell>
          <cell r="I208">
            <v>76243.18</v>
          </cell>
        </row>
        <row r="209">
          <cell r="A209" t="str">
            <v>SEABOARD FARMS</v>
          </cell>
          <cell r="B209" t="str">
            <v>TEXHOMA</v>
          </cell>
          <cell r="C209" t="str">
            <v>6/97</v>
          </cell>
          <cell r="D209">
            <v>240</v>
          </cell>
          <cell r="E209">
            <v>149300.2</v>
          </cell>
          <cell r="F209">
            <v>-46656</v>
          </cell>
          <cell r="G209">
            <v>-622.08</v>
          </cell>
          <cell r="H209">
            <v>-47278.08</v>
          </cell>
          <cell r="I209">
            <v>102022.12000000001</v>
          </cell>
        </row>
        <row r="210">
          <cell r="A210" t="str">
            <v>SEABOARD FARMS</v>
          </cell>
          <cell r="B210" t="str">
            <v>TEXHOMA</v>
          </cell>
          <cell r="C210" t="str">
            <v>6/97</v>
          </cell>
          <cell r="D210">
            <v>240</v>
          </cell>
          <cell r="E210">
            <v>14000.14</v>
          </cell>
          <cell r="F210">
            <v>-4374.75</v>
          </cell>
          <cell r="G210">
            <v>-58.33</v>
          </cell>
          <cell r="H210">
            <v>-4433.08</v>
          </cell>
          <cell r="I210">
            <v>9567.06</v>
          </cell>
        </row>
        <row r="211">
          <cell r="A211" t="str">
            <v>VALL, INC.</v>
          </cell>
          <cell r="B211" t="str">
            <v>TEXHOMA</v>
          </cell>
          <cell r="C211" t="str">
            <v>6/97</v>
          </cell>
          <cell r="D211">
            <v>240</v>
          </cell>
          <cell r="E211">
            <v>44085</v>
          </cell>
          <cell r="F211">
            <v>-13776.75</v>
          </cell>
          <cell r="G211">
            <v>-183.69</v>
          </cell>
          <cell r="H211">
            <v>-13960.44</v>
          </cell>
          <cell r="I211">
            <v>30124.559999999998</v>
          </cell>
        </row>
        <row r="212">
          <cell r="A212" t="str">
            <v>VALL, INC.</v>
          </cell>
          <cell r="B212" t="str">
            <v>TEXHOMA</v>
          </cell>
          <cell r="C212" t="str">
            <v>6/97</v>
          </cell>
          <cell r="D212">
            <v>240</v>
          </cell>
          <cell r="E212">
            <v>23561.56</v>
          </cell>
          <cell r="F212">
            <v>-7362.75</v>
          </cell>
          <cell r="G212">
            <v>-98.17</v>
          </cell>
          <cell r="H212">
            <v>-7460.92</v>
          </cell>
          <cell r="I212">
            <v>16100.640000000001</v>
          </cell>
        </row>
        <row r="213">
          <cell r="A213" t="str">
            <v>VALL, INC.</v>
          </cell>
          <cell r="B213" t="str">
            <v>TEXHOMA</v>
          </cell>
          <cell r="C213" t="str">
            <v>6/97</v>
          </cell>
          <cell r="D213">
            <v>240</v>
          </cell>
          <cell r="E213">
            <v>26332.58</v>
          </cell>
          <cell r="F213">
            <v>-8229</v>
          </cell>
          <cell r="G213">
            <v>-109.72</v>
          </cell>
          <cell r="H213">
            <v>-8338.72</v>
          </cell>
          <cell r="I213">
            <v>17993.86</v>
          </cell>
        </row>
        <row r="214">
          <cell r="A214" t="str">
            <v>SEABOARD FARMS</v>
          </cell>
          <cell r="B214" t="str">
            <v>TEXHOMA</v>
          </cell>
          <cell r="C214" t="str">
            <v>7/97</v>
          </cell>
          <cell r="D214">
            <v>240</v>
          </cell>
          <cell r="E214">
            <v>11188.5</v>
          </cell>
          <cell r="F214">
            <v>-3449.88</v>
          </cell>
          <cell r="G214">
            <v>-46.62</v>
          </cell>
          <cell r="H214">
            <v>-3496.5</v>
          </cell>
          <cell r="I214">
            <v>7692</v>
          </cell>
        </row>
        <row r="215">
          <cell r="A215" t="str">
            <v>VALL, INC.</v>
          </cell>
          <cell r="B215" t="str">
            <v>TEXHOMA</v>
          </cell>
          <cell r="C215" t="str">
            <v>1/98</v>
          </cell>
          <cell r="D215">
            <v>240</v>
          </cell>
          <cell r="E215">
            <v>40232.15</v>
          </cell>
          <cell r="F215">
            <v>-11398.84</v>
          </cell>
          <cell r="G215">
            <v>-167.63</v>
          </cell>
          <cell r="H215">
            <v>-11566.47</v>
          </cell>
          <cell r="I215">
            <v>28665.68</v>
          </cell>
        </row>
        <row r="216">
          <cell r="A216" t="str">
            <v>VALL, INC.</v>
          </cell>
          <cell r="B216" t="str">
            <v>TEXHOMA</v>
          </cell>
          <cell r="C216" t="str">
            <v>7/98</v>
          </cell>
          <cell r="D216">
            <v>240</v>
          </cell>
          <cell r="E216">
            <v>23181.45</v>
          </cell>
          <cell r="F216">
            <v>-5988.58</v>
          </cell>
          <cell r="G216">
            <v>-96.59</v>
          </cell>
          <cell r="H216">
            <v>-6085.17</v>
          </cell>
          <cell r="I216">
            <v>17096.28</v>
          </cell>
        </row>
        <row r="217">
          <cell r="A217" t="str">
            <v>BERRY FARMS P/S</v>
          </cell>
          <cell r="B217" t="str">
            <v>TEXHOMA</v>
          </cell>
          <cell r="C217" t="str">
            <v>5/99</v>
          </cell>
          <cell r="D217">
            <v>240</v>
          </cell>
          <cell r="E217">
            <v>4213.7</v>
          </cell>
          <cell r="F217">
            <v>-913.12</v>
          </cell>
          <cell r="G217">
            <v>-17.56</v>
          </cell>
          <cell r="H217">
            <v>-930.68</v>
          </cell>
          <cell r="I217">
            <v>3283.02</v>
          </cell>
        </row>
        <row r="218">
          <cell r="A218" t="str">
            <v>ANDY BERRY</v>
          </cell>
          <cell r="B218" t="str">
            <v>TEXHOMA</v>
          </cell>
          <cell r="C218" t="str">
            <v>6/99</v>
          </cell>
          <cell r="D218">
            <v>240</v>
          </cell>
          <cell r="E218">
            <v>1608.5</v>
          </cell>
          <cell r="F218">
            <v>-341.7</v>
          </cell>
          <cell r="G218">
            <v>-6.7</v>
          </cell>
          <cell r="H218">
            <v>-348.4</v>
          </cell>
          <cell r="I218">
            <v>1260.1</v>
          </cell>
        </row>
        <row r="219">
          <cell r="A219" t="str">
            <v>ALAN CLEMANS</v>
          </cell>
          <cell r="B219" t="str">
            <v>TEXHOMA</v>
          </cell>
          <cell r="C219" t="str">
            <v>9/99</v>
          </cell>
          <cell r="D219">
            <v>240</v>
          </cell>
          <cell r="E219">
            <v>10000</v>
          </cell>
          <cell r="F219">
            <v>-2000.16</v>
          </cell>
          <cell r="G219">
            <v>-41.67</v>
          </cell>
          <cell r="H219">
            <v>-2041.8300000000002</v>
          </cell>
          <cell r="I219">
            <v>7958.17</v>
          </cell>
        </row>
        <row r="220">
          <cell r="A220" t="str">
            <v>HAAR FARMS P/S</v>
          </cell>
          <cell r="B220" t="str">
            <v>TEXHOMA</v>
          </cell>
          <cell r="C220" t="str">
            <v>9/99</v>
          </cell>
          <cell r="D220">
            <v>240</v>
          </cell>
          <cell r="E220">
            <v>15000</v>
          </cell>
          <cell r="F220">
            <v>-3000</v>
          </cell>
          <cell r="G220">
            <v>-62.5</v>
          </cell>
          <cell r="H220">
            <v>-3062.5</v>
          </cell>
          <cell r="I220">
            <v>11937.5</v>
          </cell>
        </row>
        <row r="221">
          <cell r="A221" t="str">
            <v>KENT HAAR</v>
          </cell>
          <cell r="B221" t="str">
            <v>TEXHOMA</v>
          </cell>
          <cell r="C221" t="str">
            <v>9/99</v>
          </cell>
          <cell r="D221">
            <v>240</v>
          </cell>
          <cell r="E221">
            <v>10000</v>
          </cell>
          <cell r="F221">
            <v>-2000.16</v>
          </cell>
          <cell r="G221">
            <v>-41.67</v>
          </cell>
          <cell r="H221">
            <v>-2041.8300000000002</v>
          </cell>
          <cell r="I221">
            <v>7958.17</v>
          </cell>
        </row>
        <row r="222">
          <cell r="A222" t="str">
            <v>VALL, INC.</v>
          </cell>
          <cell r="B222" t="str">
            <v>TEXHOMA</v>
          </cell>
          <cell r="C222" t="str">
            <v>10/99</v>
          </cell>
          <cell r="D222">
            <v>240</v>
          </cell>
          <cell r="E222">
            <v>12164.82</v>
          </cell>
          <cell r="F222">
            <v>-2382.43</v>
          </cell>
          <cell r="G222">
            <v>-50.69</v>
          </cell>
          <cell r="H222">
            <v>-2433.12</v>
          </cell>
          <cell r="I222">
            <v>9731.7</v>
          </cell>
        </row>
        <row r="223">
          <cell r="A223" t="str">
            <v>KRAMER ENTERPRISES</v>
          </cell>
          <cell r="B223" t="str">
            <v>TEXHOMA</v>
          </cell>
          <cell r="C223" t="str">
            <v>2/00</v>
          </cell>
          <cell r="D223">
            <v>240</v>
          </cell>
          <cell r="E223">
            <v>7500</v>
          </cell>
          <cell r="F223">
            <v>-1343.75</v>
          </cell>
          <cell r="G223">
            <v>-31.25</v>
          </cell>
          <cell r="H223">
            <v>-1375</v>
          </cell>
          <cell r="I223">
            <v>6125</v>
          </cell>
        </row>
        <row r="224">
          <cell r="A224" t="str">
            <v>VIRGIL H. BRUNE</v>
          </cell>
          <cell r="B224" t="str">
            <v>TEXHOMA</v>
          </cell>
          <cell r="C224" t="str">
            <v>2/00</v>
          </cell>
          <cell r="D224">
            <v>240</v>
          </cell>
          <cell r="E224">
            <v>2500</v>
          </cell>
          <cell r="F224">
            <v>-448.06</v>
          </cell>
          <cell r="G224">
            <v>-10.42</v>
          </cell>
          <cell r="H224">
            <v>-458.48</v>
          </cell>
          <cell r="I224">
            <v>2041.52</v>
          </cell>
        </row>
        <row r="225">
          <cell r="A225" t="str">
            <v>ALAN CLEMANS</v>
          </cell>
          <cell r="B225" t="str">
            <v>TEXHOMA</v>
          </cell>
          <cell r="C225" t="str">
            <v>2/00</v>
          </cell>
          <cell r="D225">
            <v>240</v>
          </cell>
          <cell r="E225">
            <v>10000</v>
          </cell>
          <cell r="F225">
            <v>-1791.81</v>
          </cell>
          <cell r="G225">
            <v>-41.67</v>
          </cell>
          <cell r="H225">
            <v>-1833.48</v>
          </cell>
          <cell r="I225">
            <v>8166.52</v>
          </cell>
        </row>
        <row r="226">
          <cell r="A226" t="str">
            <v>VALL, INC.</v>
          </cell>
          <cell r="B226" t="str">
            <v>TEXHOMA</v>
          </cell>
          <cell r="C226" t="str">
            <v>3/00</v>
          </cell>
          <cell r="D226">
            <v>240</v>
          </cell>
          <cell r="E226">
            <v>22127.15</v>
          </cell>
          <cell r="F226">
            <v>-3872.4</v>
          </cell>
          <cell r="G226">
            <v>-92.2</v>
          </cell>
          <cell r="H226">
            <v>-3964.6</v>
          </cell>
          <cell r="I226">
            <v>18162.550000000003</v>
          </cell>
        </row>
        <row r="227">
          <cell r="A227" t="str">
            <v>BEER FARMS, INC.</v>
          </cell>
          <cell r="B227" t="str">
            <v>TEXHOMA</v>
          </cell>
          <cell r="C227" t="str">
            <v>3/00</v>
          </cell>
          <cell r="D227">
            <v>240</v>
          </cell>
          <cell r="E227">
            <v>2500</v>
          </cell>
          <cell r="F227">
            <v>-437.64</v>
          </cell>
          <cell r="G227">
            <v>-10.42</v>
          </cell>
          <cell r="H227">
            <v>-448.06</v>
          </cell>
          <cell r="I227">
            <v>2051.94</v>
          </cell>
        </row>
        <row r="228">
          <cell r="A228" t="str">
            <v>GERALD M. BEER</v>
          </cell>
          <cell r="B228" t="str">
            <v>TEXHOMA</v>
          </cell>
          <cell r="C228" t="str">
            <v>3/00</v>
          </cell>
          <cell r="D228">
            <v>240</v>
          </cell>
          <cell r="E228">
            <v>2500</v>
          </cell>
          <cell r="F228">
            <v>-437.64</v>
          </cell>
          <cell r="G228">
            <v>-10.42</v>
          </cell>
          <cell r="H228">
            <v>-448.06</v>
          </cell>
          <cell r="I228">
            <v>2051.94</v>
          </cell>
        </row>
        <row r="229">
          <cell r="A229" t="str">
            <v>JACK HOUTS</v>
          </cell>
          <cell r="B229" t="str">
            <v>TEXHOMA</v>
          </cell>
          <cell r="C229" t="str">
            <v>3/00</v>
          </cell>
          <cell r="D229">
            <v>240</v>
          </cell>
          <cell r="E229">
            <v>1906.56</v>
          </cell>
          <cell r="F229">
            <v>-333.48</v>
          </cell>
          <cell r="G229">
            <v>-7.94</v>
          </cell>
          <cell r="H229">
            <v>-341.42</v>
          </cell>
          <cell r="I229">
            <v>1565.1399999999999</v>
          </cell>
        </row>
        <row r="230">
          <cell r="A230" t="str">
            <v>WINIFRED JEFFUS TRUST</v>
          </cell>
          <cell r="B230" t="str">
            <v>TEXHOMA</v>
          </cell>
          <cell r="C230" t="str">
            <v>5/00</v>
          </cell>
          <cell r="D230">
            <v>240</v>
          </cell>
          <cell r="E230">
            <v>2500</v>
          </cell>
          <cell r="F230">
            <v>-416.8</v>
          </cell>
          <cell r="G230">
            <v>-10.42</v>
          </cell>
          <cell r="H230">
            <v>-427.22</v>
          </cell>
          <cell r="I230">
            <v>2072.7799999999997</v>
          </cell>
        </row>
        <row r="231">
          <cell r="A231" t="str">
            <v>CLARK FARMS</v>
          </cell>
          <cell r="B231" t="str">
            <v>TEXHOMA</v>
          </cell>
          <cell r="C231" t="str">
            <v>5/00</v>
          </cell>
          <cell r="D231">
            <v>240</v>
          </cell>
          <cell r="E231">
            <v>442.55</v>
          </cell>
          <cell r="F231">
            <v>-73.6</v>
          </cell>
          <cell r="G231">
            <v>-1.84</v>
          </cell>
          <cell r="H231">
            <v>-75.44</v>
          </cell>
          <cell r="I231">
            <v>367.11</v>
          </cell>
        </row>
        <row r="232">
          <cell r="A232" t="str">
            <v>WAYNE WENGER</v>
          </cell>
          <cell r="B232" t="str">
            <v>TEXHOMA</v>
          </cell>
          <cell r="C232" t="str">
            <v>5/00</v>
          </cell>
          <cell r="D232">
            <v>240</v>
          </cell>
          <cell r="E232">
            <v>2148</v>
          </cell>
          <cell r="F232">
            <v>-358</v>
          </cell>
          <cell r="G232">
            <v>-8.95</v>
          </cell>
          <cell r="H232">
            <v>-366.95</v>
          </cell>
          <cell r="I232">
            <v>1781.05</v>
          </cell>
        </row>
        <row r="233">
          <cell r="A233" t="str">
            <v>KENNY LUNSFORD</v>
          </cell>
          <cell r="B233" t="str">
            <v>TEXHOMA</v>
          </cell>
          <cell r="C233" t="str">
            <v>4/01</v>
          </cell>
          <cell r="D233">
            <v>240</v>
          </cell>
          <cell r="E233">
            <v>2603.27</v>
          </cell>
          <cell r="F233">
            <v>-314.65</v>
          </cell>
          <cell r="G233">
            <v>-10.85</v>
          </cell>
          <cell r="H233">
            <v>-325.5</v>
          </cell>
          <cell r="I233">
            <v>2277.77</v>
          </cell>
        </row>
        <row r="234">
          <cell r="A234" t="str">
            <v>T &amp; S FARMS</v>
          </cell>
          <cell r="B234" t="str">
            <v>TEXHOMA</v>
          </cell>
          <cell r="C234" t="str">
            <v>11/01</v>
          </cell>
          <cell r="D234">
            <v>240</v>
          </cell>
          <cell r="E234">
            <v>1539.2</v>
          </cell>
          <cell r="F234">
            <v>-141.02</v>
          </cell>
          <cell r="G234">
            <v>-6.41</v>
          </cell>
          <cell r="H234">
            <v>-147.43</v>
          </cell>
          <cell r="I234">
            <v>1391.77</v>
          </cell>
        </row>
        <row r="235">
          <cell r="A235" t="str">
            <v>DRULA THRALL FARM</v>
          </cell>
          <cell r="B235" t="str">
            <v>TEXHOMA</v>
          </cell>
          <cell r="C235" t="str">
            <v>1/02</v>
          </cell>
          <cell r="D235">
            <v>240</v>
          </cell>
          <cell r="E235">
            <v>4200</v>
          </cell>
          <cell r="F235">
            <v>-350</v>
          </cell>
          <cell r="G235">
            <v>-17.5</v>
          </cell>
          <cell r="H235">
            <v>-367.5</v>
          </cell>
          <cell r="I235">
            <v>3832.5</v>
          </cell>
        </row>
        <row r="236">
          <cell r="A236" t="str">
            <v>BENARD NEVILLE</v>
          </cell>
          <cell r="B236" t="str">
            <v>TEXHOMA</v>
          </cell>
          <cell r="C236" t="str">
            <v>1/02</v>
          </cell>
          <cell r="D236">
            <v>240</v>
          </cell>
          <cell r="E236">
            <v>4200</v>
          </cell>
          <cell r="F236">
            <v>-350</v>
          </cell>
          <cell r="G236">
            <v>-17.5</v>
          </cell>
          <cell r="H236">
            <v>-367.5</v>
          </cell>
          <cell r="I236">
            <v>3832.5</v>
          </cell>
        </row>
        <row r="237">
          <cell r="A237" t="str">
            <v>SCOTT ARTHARD</v>
          </cell>
          <cell r="B237" t="str">
            <v>TEXHOMA</v>
          </cell>
          <cell r="C237" t="str">
            <v>4/02</v>
          </cell>
          <cell r="D237">
            <v>240</v>
          </cell>
          <cell r="E237">
            <v>905</v>
          </cell>
          <cell r="F237">
            <v>-64.09</v>
          </cell>
          <cell r="G237">
            <v>-3.77</v>
          </cell>
          <cell r="H237">
            <v>-67.86</v>
          </cell>
          <cell r="I237">
            <v>837.14</v>
          </cell>
        </row>
        <row r="238">
          <cell r="A238" t="str">
            <v>LUNSFORD FARMS</v>
          </cell>
          <cell r="B238" t="str">
            <v>TEXHOMA</v>
          </cell>
          <cell r="C238" t="str">
            <v>5/02</v>
          </cell>
          <cell r="D238">
            <v>240</v>
          </cell>
          <cell r="E238">
            <v>2516.4</v>
          </cell>
          <cell r="F238">
            <v>-167.84</v>
          </cell>
          <cell r="G238">
            <v>-10.49</v>
          </cell>
          <cell r="H238">
            <v>-178.33</v>
          </cell>
          <cell r="I238">
            <v>2338.07</v>
          </cell>
        </row>
        <row r="239">
          <cell r="A239" t="str">
            <v>STEPHENS LAND &amp; CATTLE</v>
          </cell>
          <cell r="B239" t="str">
            <v>TEXHOMA</v>
          </cell>
          <cell r="C239" t="str">
            <v>6/02</v>
          </cell>
          <cell r="D239">
            <v>240</v>
          </cell>
          <cell r="E239">
            <v>4200</v>
          </cell>
          <cell r="F239">
            <v>-262.5</v>
          </cell>
          <cell r="G239">
            <v>-17.5</v>
          </cell>
          <cell r="H239">
            <v>-280</v>
          </cell>
          <cell r="I239">
            <v>3920</v>
          </cell>
        </row>
        <row r="240">
          <cell r="A240" t="str">
            <v>KENNY LUNSFORD</v>
          </cell>
          <cell r="B240" t="str">
            <v>TEXHOMA</v>
          </cell>
          <cell r="C240" t="str">
            <v>7/02</v>
          </cell>
          <cell r="D240">
            <v>240</v>
          </cell>
          <cell r="E240">
            <v>1792.85</v>
          </cell>
          <cell r="F240">
            <v>-104.58</v>
          </cell>
          <cell r="G240">
            <v>-7.47</v>
          </cell>
          <cell r="H240">
            <v>-112.05</v>
          </cell>
          <cell r="I240">
            <v>1680.8</v>
          </cell>
        </row>
        <row r="241">
          <cell r="E241" t="str">
            <v>-</v>
          </cell>
          <cell r="F241" t="str">
            <v>-</v>
          </cell>
          <cell r="G241" t="str">
            <v>-</v>
          </cell>
          <cell r="H241" t="str">
            <v>-</v>
          </cell>
          <cell r="I241" t="str">
            <v>-</v>
          </cell>
        </row>
        <row r="242">
          <cell r="A242" t="str">
            <v>     SUBTOTALS</v>
          </cell>
          <cell r="B242" t="str">
            <v>TEXHOMA</v>
          </cell>
          <cell r="E242">
            <v>572525.1600000001</v>
          </cell>
          <cell r="F242">
            <v>-158009.47999999998</v>
          </cell>
          <cell r="G242">
            <v>-2385.5399999999995</v>
          </cell>
          <cell r="H242">
            <v>-160395.02</v>
          </cell>
          <cell r="I242">
            <v>412130.1400000001</v>
          </cell>
        </row>
        <row r="243">
          <cell r="E243" t="str">
            <v>-</v>
          </cell>
          <cell r="F243" t="str">
            <v>-</v>
          </cell>
          <cell r="G243" t="str">
            <v>-</v>
          </cell>
          <cell r="H243" t="str">
            <v>-</v>
          </cell>
          <cell r="I243" t="str">
            <v>-</v>
          </cell>
        </row>
        <row r="244">
          <cell r="A244" t="str">
            <v>TOTALS</v>
          </cell>
          <cell r="B244" t="str">
            <v>ALL</v>
          </cell>
          <cell r="E244">
            <v>2868905.31</v>
          </cell>
          <cell r="F244">
            <v>-709587.89</v>
          </cell>
          <cell r="G244">
            <v>-11953.809999999998</v>
          </cell>
          <cell r="H244">
            <v>-721539.12</v>
          </cell>
          <cell r="I244">
            <v>2147366.1899999995</v>
          </cell>
        </row>
        <row r="245">
          <cell r="E245" t="str">
            <v>=</v>
          </cell>
          <cell r="F245" t="str">
            <v>=</v>
          </cell>
          <cell r="G245" t="str">
            <v>=</v>
          </cell>
          <cell r="H245" t="str">
            <v>=</v>
          </cell>
          <cell r="I24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47"/>
  <sheetViews>
    <sheetView workbookViewId="0" topLeftCell="A13">
      <selection activeCell="C36" sqref="C36"/>
    </sheetView>
  </sheetViews>
  <sheetFormatPr defaultColWidth="9.140625" defaultRowHeight="12.75"/>
  <cols>
    <col min="2" max="2" width="63.28125" style="0" customWidth="1"/>
    <col min="3" max="3" width="25.8515625" style="462" customWidth="1"/>
  </cols>
  <sheetData>
    <row r="1" spans="1:3" ht="20.25">
      <c r="A1" s="723" t="s">
        <v>730</v>
      </c>
      <c r="B1" s="723"/>
      <c r="C1" s="723"/>
    </row>
    <row r="2" spans="1:3" ht="18">
      <c r="A2" s="724" t="s">
        <v>688</v>
      </c>
      <c r="B2" s="724"/>
      <c r="C2" s="724"/>
    </row>
    <row r="3" spans="1:3" ht="18">
      <c r="A3" s="724" t="s">
        <v>712</v>
      </c>
      <c r="B3" s="724"/>
      <c r="C3" s="724"/>
    </row>
    <row r="4" spans="1:3" ht="18">
      <c r="A4" s="724" t="s">
        <v>500</v>
      </c>
      <c r="B4" s="724"/>
      <c r="C4" s="724"/>
    </row>
    <row r="5" spans="1:3" ht="18">
      <c r="A5" s="716"/>
      <c r="B5" s="716"/>
      <c r="C5" s="716"/>
    </row>
    <row r="6" spans="1:3" ht="18">
      <c r="A6" s="716"/>
      <c r="B6" s="716"/>
      <c r="C6" s="716"/>
    </row>
    <row r="7" spans="1:3" ht="18">
      <c r="A7" s="716"/>
      <c r="B7" s="716"/>
      <c r="C7" s="716"/>
    </row>
    <row r="8" spans="1:3" ht="30">
      <c r="A8" s="717" t="s">
        <v>680</v>
      </c>
      <c r="B8" s="717" t="s">
        <v>681</v>
      </c>
      <c r="C8" s="717" t="s">
        <v>713</v>
      </c>
    </row>
    <row r="9" spans="1:3" ht="14.25">
      <c r="A9" s="718"/>
      <c r="B9" s="719"/>
      <c r="C9" s="720"/>
    </row>
    <row r="10" spans="1:3" ht="13.5">
      <c r="A10" s="720">
        <v>1</v>
      </c>
      <c r="B10" s="719" t="s">
        <v>516</v>
      </c>
      <c r="C10" s="722" t="s">
        <v>689</v>
      </c>
    </row>
    <row r="11" spans="1:3" ht="13.5">
      <c r="A11" s="720"/>
      <c r="B11" s="719"/>
      <c r="C11" s="722"/>
    </row>
    <row r="12" spans="1:3" ht="13.5">
      <c r="A12" s="720">
        <v>2</v>
      </c>
      <c r="B12" s="719" t="s">
        <v>526</v>
      </c>
      <c r="C12" s="722" t="s">
        <v>690</v>
      </c>
    </row>
    <row r="13" spans="1:3" ht="13.5">
      <c r="A13" s="720"/>
      <c r="B13" s="719"/>
      <c r="C13" s="722"/>
    </row>
    <row r="14" spans="1:3" ht="13.5">
      <c r="A14" s="720">
        <v>3</v>
      </c>
      <c r="B14" s="719" t="s">
        <v>687</v>
      </c>
      <c r="C14" s="722" t="s">
        <v>691</v>
      </c>
    </row>
    <row r="15" spans="1:3" ht="13.5">
      <c r="A15" s="720"/>
      <c r="B15" s="719"/>
      <c r="C15" s="722"/>
    </row>
    <row r="16" spans="1:3" ht="13.5">
      <c r="A16" s="720">
        <v>4</v>
      </c>
      <c r="B16" s="719" t="s">
        <v>682</v>
      </c>
      <c r="C16" s="722" t="s">
        <v>683</v>
      </c>
    </row>
    <row r="17" spans="1:3" ht="13.5">
      <c r="A17" s="720"/>
      <c r="B17" s="719"/>
      <c r="C17" s="722"/>
    </row>
    <row r="18" spans="1:3" ht="13.5">
      <c r="A18" s="720">
        <v>5</v>
      </c>
      <c r="B18" s="719" t="s">
        <v>693</v>
      </c>
      <c r="C18" s="722" t="s">
        <v>692</v>
      </c>
    </row>
    <row r="19" spans="1:3" ht="13.5">
      <c r="A19" s="720"/>
      <c r="B19" s="719"/>
      <c r="C19" s="722"/>
    </row>
    <row r="20" spans="1:3" ht="13.5">
      <c r="A20" s="720">
        <v>6</v>
      </c>
      <c r="B20" s="719" t="s">
        <v>694</v>
      </c>
      <c r="C20" s="722" t="s">
        <v>695</v>
      </c>
    </row>
    <row r="21" spans="1:3" ht="13.5">
      <c r="A21" s="720"/>
      <c r="B21" s="719"/>
      <c r="C21" s="722"/>
    </row>
    <row r="22" spans="1:3" ht="13.5">
      <c r="A22" s="720">
        <v>7</v>
      </c>
      <c r="B22" s="719" t="s">
        <v>709</v>
      </c>
      <c r="C22" s="722" t="s">
        <v>684</v>
      </c>
    </row>
    <row r="23" spans="1:3" ht="13.5">
      <c r="A23" s="720"/>
      <c r="B23" s="719"/>
      <c r="C23" s="722"/>
    </row>
    <row r="24" spans="1:3" ht="13.5">
      <c r="A24" s="720">
        <v>8</v>
      </c>
      <c r="B24" s="719" t="s">
        <v>403</v>
      </c>
      <c r="C24" s="722" t="s">
        <v>696</v>
      </c>
    </row>
    <row r="25" spans="1:3" ht="13.5">
      <c r="A25" s="720"/>
      <c r="B25" s="719"/>
      <c r="C25" s="722"/>
    </row>
    <row r="26" spans="1:3" ht="13.5">
      <c r="A26" s="720">
        <v>9</v>
      </c>
      <c r="B26" s="719" t="s">
        <v>697</v>
      </c>
      <c r="C26" s="722" t="s">
        <v>710</v>
      </c>
    </row>
    <row r="27" spans="1:3" ht="13.5">
      <c r="A27" s="720"/>
      <c r="B27" s="719"/>
      <c r="C27" s="722"/>
    </row>
    <row r="28" spans="1:3" ht="13.5">
      <c r="A28" s="720">
        <v>10</v>
      </c>
      <c r="B28" s="719" t="s">
        <v>698</v>
      </c>
      <c r="C28" s="722" t="s">
        <v>685</v>
      </c>
    </row>
    <row r="29" spans="1:3" ht="13.5">
      <c r="A29" s="720"/>
      <c r="B29" s="719"/>
      <c r="C29" s="722"/>
    </row>
    <row r="30" spans="1:3" ht="13.5">
      <c r="A30" s="720">
        <v>11</v>
      </c>
      <c r="B30" s="719" t="s">
        <v>699</v>
      </c>
      <c r="C30" s="722" t="s">
        <v>700</v>
      </c>
    </row>
    <row r="31" spans="1:3" ht="13.5">
      <c r="A31" s="720"/>
      <c r="B31" s="719"/>
      <c r="C31" s="722"/>
    </row>
    <row r="32" spans="1:3" ht="13.5">
      <c r="A32" s="720">
        <v>12</v>
      </c>
      <c r="B32" s="719" t="s">
        <v>701</v>
      </c>
      <c r="C32" s="722" t="s">
        <v>702</v>
      </c>
    </row>
    <row r="33" spans="1:3" ht="13.5">
      <c r="A33" s="720"/>
      <c r="B33" s="719"/>
      <c r="C33" s="722"/>
    </row>
    <row r="34" spans="1:3" ht="13.5">
      <c r="A34" s="720">
        <v>13</v>
      </c>
      <c r="B34" s="719" t="s">
        <v>703</v>
      </c>
      <c r="C34" s="722" t="s">
        <v>704</v>
      </c>
    </row>
    <row r="35" spans="1:3" ht="13.5">
      <c r="A35" s="720"/>
      <c r="B35" s="719"/>
      <c r="C35" s="722"/>
    </row>
    <row r="36" spans="1:3" ht="13.5">
      <c r="A36" s="720">
        <v>14</v>
      </c>
      <c r="B36" s="719" t="s">
        <v>705</v>
      </c>
      <c r="C36" s="722" t="s">
        <v>706</v>
      </c>
    </row>
    <row r="37" spans="1:3" ht="13.5">
      <c r="A37" s="720"/>
      <c r="B37" s="719"/>
      <c r="C37" s="722"/>
    </row>
    <row r="38" spans="1:3" ht="13.5">
      <c r="A38" s="720">
        <v>15</v>
      </c>
      <c r="B38" s="719" t="s">
        <v>70</v>
      </c>
      <c r="C38" s="722" t="s">
        <v>686</v>
      </c>
    </row>
    <row r="39" spans="1:3" ht="13.5">
      <c r="A39" s="720"/>
      <c r="B39" s="719"/>
      <c r="C39" s="722"/>
    </row>
    <row r="40" spans="1:3" ht="13.5">
      <c r="A40" s="720">
        <v>16</v>
      </c>
      <c r="B40" s="719" t="s">
        <v>707</v>
      </c>
      <c r="C40" s="722" t="s">
        <v>708</v>
      </c>
    </row>
    <row r="41" spans="1:3" ht="13.5">
      <c r="A41" s="720"/>
      <c r="B41" s="719"/>
      <c r="C41" s="722"/>
    </row>
    <row r="42" spans="1:3" ht="13.5">
      <c r="A42" s="720"/>
      <c r="B42" s="719"/>
      <c r="C42" s="722"/>
    </row>
    <row r="43" spans="1:3" ht="13.5">
      <c r="A43" s="720"/>
      <c r="B43" s="719"/>
      <c r="C43" s="722"/>
    </row>
    <row r="44" spans="1:3" ht="13.5">
      <c r="A44" s="720"/>
      <c r="B44" s="721"/>
      <c r="C44" s="722"/>
    </row>
    <row r="45" spans="1:3" ht="13.5">
      <c r="A45" s="720"/>
      <c r="B45" s="721"/>
      <c r="C45" s="722"/>
    </row>
    <row r="46" spans="1:3" ht="13.5">
      <c r="A46" s="720"/>
      <c r="B46" s="721"/>
      <c r="C46" s="722"/>
    </row>
    <row r="47" spans="1:3" ht="13.5">
      <c r="A47" s="720"/>
      <c r="B47" s="721"/>
      <c r="C47" s="722"/>
    </row>
  </sheetData>
  <mergeCells count="4">
    <mergeCell ref="A1:C1"/>
    <mergeCell ref="A2:C2"/>
    <mergeCell ref="A3:C3"/>
    <mergeCell ref="A4:C4"/>
  </mergeCells>
  <hyperlinks>
    <hyperlink ref="C10" location="'Schedule A'!A1" display="Schedule A"/>
    <hyperlink ref="C12" location="'Schedule A-1'!A1" display="Schedule A-1"/>
    <hyperlink ref="C14" location="'Schedule A-2'!A1" display="Schedule A-2"/>
    <hyperlink ref="C16" location="'Schedule B'!A1" display="Schedule B"/>
    <hyperlink ref="C18" location="'Schedule B-1'!A1" display="Schedule B-1"/>
    <hyperlink ref="C20" location="'Schedule B-2'!A1" display="Schedule B-2"/>
    <hyperlink ref="C22" location="'Schedule C'!A1" display="Schedule C"/>
    <hyperlink ref="C24" location="'Schedule C-1'!A1" display="Schedule C-1"/>
    <hyperlink ref="C26" location="'WP C-1'!A1" display="Workpaper C-1"/>
    <hyperlink ref="C28" location="'Schedule D'!A1" display="Schedule D"/>
    <hyperlink ref="C30" location="'Schedule D-1'!A1" display="Schedule D-1"/>
    <hyperlink ref="C32" location="'Schedule D-2'!A1" display="Schedule D-2"/>
    <hyperlink ref="C34" location="'Schedule E'!A1" display="Schedule E"/>
    <hyperlink ref="C36" location="'Schedule F'!N101" display="Schedule F"/>
    <hyperlink ref="C38" location="'Schedule F-1'!A1" display="Schedule F-1"/>
    <hyperlink ref="C40" location="'Schedule F-2'!A1" display="Schedule F-2"/>
  </hyperlinks>
  <printOptions horizontalCentered="1"/>
  <pageMargins left="0.75" right="0.75" top="1.75" bottom="1" header="0.5" footer="0.5"/>
  <pageSetup fitToHeight="1" fitToWidth="1" horizontalDpi="600" verticalDpi="600" orientation="portrait" scale="92" r:id="rId1"/>
  <headerFooter alignWithMargins="0">
    <oddFooter>&amp;LGUD No. 9731&amp;RFinal Order</oddFooter>
  </headerFooter>
</worksheet>
</file>

<file path=xl/worksheets/sheet10.xml><?xml version="1.0" encoding="utf-8"?>
<worksheet xmlns="http://schemas.openxmlformats.org/spreadsheetml/2006/main" xmlns:r="http://schemas.openxmlformats.org/officeDocument/2006/relationships">
  <sheetPr codeName="Sheet10">
    <tabColor indexed="43"/>
    <pageSetUpPr fitToPage="1"/>
  </sheetPr>
  <dimension ref="A1:W65"/>
  <sheetViews>
    <sheetView zoomScale="75" zoomScaleNormal="75" workbookViewId="0" topLeftCell="A27">
      <selection activeCell="J63" sqref="J63:J65"/>
    </sheetView>
  </sheetViews>
  <sheetFormatPr defaultColWidth="9.140625" defaultRowHeight="12.75"/>
  <cols>
    <col min="1" max="1" width="3.8515625" style="436" customWidth="1"/>
    <col min="2" max="3" width="12.421875" style="436" customWidth="1"/>
    <col min="4" max="4" width="22.140625" style="436" customWidth="1"/>
    <col min="5" max="5" width="1.8515625" style="436" customWidth="1"/>
    <col min="6" max="6" width="12.421875" style="436" customWidth="1"/>
    <col min="7" max="7" width="1.421875" style="436" customWidth="1"/>
    <col min="8" max="8" width="11.28125" style="436" customWidth="1"/>
    <col min="9" max="9" width="1.421875" style="436" customWidth="1"/>
    <col min="10" max="10" width="10.28125" style="436" customWidth="1"/>
    <col min="11" max="11" width="1.421875" style="436" customWidth="1"/>
    <col min="12" max="12" width="12.421875" style="436" customWidth="1"/>
    <col min="13" max="13" width="1.421875" style="436" customWidth="1"/>
    <col min="14" max="14" width="14.57421875" style="436" customWidth="1"/>
    <col min="15" max="15" width="1.8515625" style="436" customWidth="1"/>
    <col min="16" max="16" width="13.8515625" style="436" customWidth="1"/>
    <col min="17" max="17" width="2.57421875" style="436" customWidth="1"/>
    <col min="18" max="18" width="12.421875" style="436" customWidth="1"/>
    <col min="19" max="19" width="1.421875" style="436" customWidth="1"/>
    <col min="20" max="20" width="13.7109375" style="436" bestFit="1" customWidth="1"/>
    <col min="21" max="21" width="1.57421875" style="436" customWidth="1"/>
    <col min="22" max="22" width="12.421875" style="451" customWidth="1"/>
    <col min="23" max="16384" width="12.421875" style="436" customWidth="1"/>
  </cols>
  <sheetData>
    <row r="1" spans="2:20" ht="14.25">
      <c r="B1" s="712" t="s">
        <v>100</v>
      </c>
      <c r="D1" s="438"/>
      <c r="T1" s="713" t="s">
        <v>722</v>
      </c>
    </row>
    <row r="2" spans="2:10" ht="14.25">
      <c r="B2" s="712" t="s">
        <v>101</v>
      </c>
      <c r="D2" s="439"/>
      <c r="F2" s="451"/>
      <c r="G2" s="451"/>
      <c r="I2" s="451"/>
      <c r="J2" s="451"/>
    </row>
    <row r="3" spans="4:20" ht="12.75">
      <c r="D3" s="439"/>
      <c r="N3" s="744" t="s">
        <v>76</v>
      </c>
      <c r="O3" s="744"/>
      <c r="P3" s="744"/>
      <c r="R3" s="744" t="s">
        <v>731</v>
      </c>
      <c r="S3" s="744"/>
      <c r="T3" s="744"/>
    </row>
    <row r="4" spans="2:18" ht="12.75">
      <c r="B4" s="437"/>
      <c r="N4" s="441">
        <v>2006</v>
      </c>
      <c r="R4" s="441">
        <v>2006</v>
      </c>
    </row>
    <row r="5" spans="6:22" ht="12.75">
      <c r="F5" s="441" t="s">
        <v>102</v>
      </c>
      <c r="G5" s="441"/>
      <c r="H5" s="441" t="s">
        <v>103</v>
      </c>
      <c r="I5" s="441"/>
      <c r="J5" s="441" t="s">
        <v>104</v>
      </c>
      <c r="K5" s="441"/>
      <c r="L5" s="441">
        <v>2006</v>
      </c>
      <c r="M5" s="441"/>
      <c r="N5" s="441" t="s">
        <v>105</v>
      </c>
      <c r="O5" s="441"/>
      <c r="P5" s="441"/>
      <c r="Q5" s="441"/>
      <c r="R5" s="441" t="s">
        <v>105</v>
      </c>
      <c r="V5" s="444"/>
    </row>
    <row r="6" spans="1:22" ht="12.75">
      <c r="A6" s="441"/>
      <c r="B6" s="441"/>
      <c r="C6" s="441"/>
      <c r="D6" s="441"/>
      <c r="F6" s="441" t="s">
        <v>105</v>
      </c>
      <c r="G6" s="441"/>
      <c r="H6" s="441" t="s">
        <v>105</v>
      </c>
      <c r="I6" s="441"/>
      <c r="J6" s="441" t="s">
        <v>105</v>
      </c>
      <c r="K6" s="441"/>
      <c r="L6" s="441" t="s">
        <v>105</v>
      </c>
      <c r="M6" s="441"/>
      <c r="N6" s="441" t="s">
        <v>106</v>
      </c>
      <c r="O6" s="441"/>
      <c r="P6" s="441"/>
      <c r="Q6" s="441"/>
      <c r="R6" s="441" t="s">
        <v>106</v>
      </c>
      <c r="T6" s="686"/>
      <c r="V6" s="444"/>
    </row>
    <row r="7" spans="1:22" ht="13.5" thickBot="1">
      <c r="A7" s="441"/>
      <c r="B7" s="442" t="s">
        <v>107</v>
      </c>
      <c r="C7" s="443"/>
      <c r="D7" s="443"/>
      <c r="F7" s="443" t="s">
        <v>106</v>
      </c>
      <c r="G7" s="444"/>
      <c r="H7" s="443" t="s">
        <v>106</v>
      </c>
      <c r="I7" s="441"/>
      <c r="J7" s="443" t="s">
        <v>106</v>
      </c>
      <c r="K7" s="441"/>
      <c r="L7" s="443" t="s">
        <v>106</v>
      </c>
      <c r="M7" s="441"/>
      <c r="N7" s="443" t="s">
        <v>108</v>
      </c>
      <c r="O7" s="441"/>
      <c r="P7" s="443" t="s">
        <v>109</v>
      </c>
      <c r="Q7" s="444"/>
      <c r="R7" s="443" t="s">
        <v>108</v>
      </c>
      <c r="T7" s="687" t="s">
        <v>109</v>
      </c>
      <c r="V7" s="444"/>
    </row>
    <row r="8" spans="3:20" ht="12.75">
      <c r="C8" s="34" t="s">
        <v>404</v>
      </c>
      <c r="F8" s="34" t="s">
        <v>405</v>
      </c>
      <c r="H8" s="34" t="s">
        <v>551</v>
      </c>
      <c r="J8" s="34" t="s">
        <v>406</v>
      </c>
      <c r="L8" s="34" t="s">
        <v>550</v>
      </c>
      <c r="N8" s="34" t="s">
        <v>555</v>
      </c>
      <c r="P8" s="34" t="s">
        <v>481</v>
      </c>
      <c r="R8" s="34" t="s">
        <v>81</v>
      </c>
      <c r="T8" s="34" t="s">
        <v>82</v>
      </c>
    </row>
    <row r="11" spans="2:20" ht="12.75">
      <c r="B11" s="445" t="s">
        <v>110</v>
      </c>
      <c r="F11" s="446">
        <v>4873.996815286624</v>
      </c>
      <c r="G11" s="446"/>
      <c r="H11" s="446">
        <v>3020.1469270740017</v>
      </c>
      <c r="J11" s="446">
        <v>3679.4151436031334</v>
      </c>
      <c r="L11" s="446">
        <f aca="true" t="shared" si="0" ref="L11:L18">F11+H11+J11</f>
        <v>11573.55888596376</v>
      </c>
      <c r="N11" s="446">
        <v>14717.660574412534</v>
      </c>
      <c r="P11" s="446">
        <v>3144.1016884487744</v>
      </c>
      <c r="Q11" s="446"/>
      <c r="R11" s="446">
        <f aca="true" t="shared" si="1" ref="R11:R18">4*J11</f>
        <v>14717.660574412534</v>
      </c>
      <c r="T11" s="446">
        <f aca="true" t="shared" si="2" ref="T11:T18">R11-L11</f>
        <v>3144.1016884487744</v>
      </c>
    </row>
    <row r="12" spans="2:23" ht="12.75">
      <c r="B12" s="445" t="s">
        <v>111</v>
      </c>
      <c r="F12" s="446">
        <v>10156.973527070064</v>
      </c>
      <c r="G12" s="446"/>
      <c r="H12" s="446">
        <v>5917.958788747536</v>
      </c>
      <c r="J12" s="446">
        <v>6860.655178416014</v>
      </c>
      <c r="L12" s="446">
        <f t="shared" si="0"/>
        <v>22935.587494233616</v>
      </c>
      <c r="N12" s="446">
        <v>27442.620713664055</v>
      </c>
      <c r="P12" s="446">
        <v>4507.033219430439</v>
      </c>
      <c r="Q12" s="446"/>
      <c r="R12" s="446">
        <f t="shared" si="1"/>
        <v>27442.620713664055</v>
      </c>
      <c r="T12" s="446">
        <f t="shared" si="2"/>
        <v>4507.033219430439</v>
      </c>
      <c r="W12" s="446">
        <f>+T12+T11+T32</f>
        <v>-53683.86509212079</v>
      </c>
    </row>
    <row r="13" spans="1:20" ht="12.75">
      <c r="A13" s="447"/>
      <c r="B13" s="445" t="s">
        <v>112</v>
      </c>
      <c r="F13" s="446">
        <v>5652.5676751592355</v>
      </c>
      <c r="G13" s="446"/>
      <c r="H13" s="446">
        <v>3692.3526249776028</v>
      </c>
      <c r="J13" s="446">
        <v>4125.117493472585</v>
      </c>
      <c r="L13" s="446">
        <f t="shared" si="0"/>
        <v>13470.037793609423</v>
      </c>
      <c r="N13" s="446">
        <v>16500.46997389034</v>
      </c>
      <c r="P13" s="446">
        <v>3030.4321802809172</v>
      </c>
      <c r="Q13" s="446"/>
      <c r="R13" s="446">
        <f t="shared" si="1"/>
        <v>16500.46997389034</v>
      </c>
      <c r="T13" s="446">
        <f t="shared" si="2"/>
        <v>3030.4321802809172</v>
      </c>
    </row>
    <row r="14" spans="2:20" ht="12.75">
      <c r="B14" s="445" t="s">
        <v>502</v>
      </c>
      <c r="F14" s="446">
        <v>6291.589171974526</v>
      </c>
      <c r="G14" s="446"/>
      <c r="H14" s="446">
        <v>3800.6701308009306</v>
      </c>
      <c r="J14" s="446">
        <v>4567.658833768493</v>
      </c>
      <c r="L14" s="446">
        <f t="shared" si="0"/>
        <v>14659.918136543949</v>
      </c>
      <c r="N14" s="446">
        <v>18270.635335073974</v>
      </c>
      <c r="P14" s="446">
        <v>3610.7171985300247</v>
      </c>
      <c r="Q14" s="446"/>
      <c r="R14" s="446">
        <f t="shared" si="1"/>
        <v>18270.635335073974</v>
      </c>
      <c r="T14" s="446">
        <f t="shared" si="2"/>
        <v>3610.7171985300247</v>
      </c>
    </row>
    <row r="15" spans="2:20" ht="12.75">
      <c r="B15" s="445" t="s">
        <v>568</v>
      </c>
      <c r="F15" s="446">
        <v>11139.650676751593</v>
      </c>
      <c r="G15" s="446"/>
      <c r="H15" s="446">
        <v>6364.290628919549</v>
      </c>
      <c r="J15" s="446">
        <v>8950.398607484769</v>
      </c>
      <c r="L15" s="446">
        <f t="shared" si="0"/>
        <v>26454.339913155913</v>
      </c>
      <c r="N15" s="446">
        <v>35801.594429939076</v>
      </c>
      <c r="P15" s="446">
        <v>9347.254516783163</v>
      </c>
      <c r="Q15" s="446"/>
      <c r="R15" s="446">
        <f t="shared" si="1"/>
        <v>35801.594429939076</v>
      </c>
      <c r="T15" s="446">
        <f t="shared" si="2"/>
        <v>9347.254516783163</v>
      </c>
    </row>
    <row r="16" spans="2:20" ht="12.75">
      <c r="B16" s="445" t="s">
        <v>113</v>
      </c>
      <c r="F16" s="446">
        <v>1268.2724920382168</v>
      </c>
      <c r="G16" s="446"/>
      <c r="H16" s="446">
        <v>761.408349758108</v>
      </c>
      <c r="J16" s="446">
        <v>911.9512619669279</v>
      </c>
      <c r="L16" s="446">
        <f t="shared" si="0"/>
        <v>2941.6321037632524</v>
      </c>
      <c r="N16" s="446">
        <v>3647.8050478677114</v>
      </c>
      <c r="P16" s="446">
        <v>706.172944104459</v>
      </c>
      <c r="Q16" s="446"/>
      <c r="R16" s="446">
        <f t="shared" si="1"/>
        <v>3647.8050478677114</v>
      </c>
      <c r="T16" s="446">
        <f t="shared" si="2"/>
        <v>706.172944104459</v>
      </c>
    </row>
    <row r="17" spans="2:20" ht="12.75">
      <c r="B17" s="448" t="s">
        <v>441</v>
      </c>
      <c r="F17" s="446">
        <v>3266.2121815286623</v>
      </c>
      <c r="G17" s="446"/>
      <c r="H17" s="446">
        <v>1958.6353700053755</v>
      </c>
      <c r="J17" s="446">
        <v>2746.917319408181</v>
      </c>
      <c r="L17" s="446">
        <f t="shared" si="0"/>
        <v>7971.764870942219</v>
      </c>
      <c r="N17" s="446">
        <v>10987.669277632724</v>
      </c>
      <c r="P17" s="446">
        <v>3015.9044066905044</v>
      </c>
      <c r="Q17" s="446"/>
      <c r="R17" s="446">
        <f t="shared" si="1"/>
        <v>10987.669277632724</v>
      </c>
      <c r="T17" s="446">
        <f t="shared" si="2"/>
        <v>3015.9044066905044</v>
      </c>
    </row>
    <row r="18" spans="2:20" ht="12.75">
      <c r="B18" s="448" t="s">
        <v>576</v>
      </c>
      <c r="F18" s="446">
        <v>3415.838972929936</v>
      </c>
      <c r="G18" s="446"/>
      <c r="H18" s="446">
        <v>1735.6287403691097</v>
      </c>
      <c r="J18" s="446">
        <v>2239.8913838120106</v>
      </c>
      <c r="L18" s="446">
        <f t="shared" si="0"/>
        <v>7391.359097111056</v>
      </c>
      <c r="N18" s="446">
        <v>8959.565535248043</v>
      </c>
      <c r="P18" s="446">
        <v>1568.2064381369864</v>
      </c>
      <c r="Q18" s="446"/>
      <c r="R18" s="446">
        <f t="shared" si="1"/>
        <v>8959.565535248043</v>
      </c>
      <c r="T18" s="446">
        <f t="shared" si="2"/>
        <v>1568.2064381369864</v>
      </c>
    </row>
    <row r="20" spans="2:22" ht="12.75">
      <c r="B20" s="448"/>
      <c r="F20" s="449"/>
      <c r="G20" s="450"/>
      <c r="H20" s="449"/>
      <c r="J20" s="449"/>
      <c r="L20" s="449"/>
      <c r="N20" s="449"/>
      <c r="P20" s="449"/>
      <c r="Q20" s="450"/>
      <c r="R20" s="449"/>
      <c r="T20" s="440"/>
      <c r="V20" s="450"/>
    </row>
    <row r="21" spans="2:18" ht="12.75">
      <c r="B21" s="447"/>
      <c r="F21" s="451"/>
      <c r="G21" s="451"/>
      <c r="H21" s="451"/>
      <c r="J21" s="451"/>
      <c r="N21" s="451"/>
      <c r="P21" s="451"/>
      <c r="Q21" s="451"/>
      <c r="R21" s="451"/>
    </row>
    <row r="22" spans="1:22" ht="13.5" thickBot="1">
      <c r="A22" s="447"/>
      <c r="B22" s="447"/>
      <c r="F22" s="452">
        <f>SUM(F9:F21)</f>
        <v>46065.10151273886</v>
      </c>
      <c r="G22" s="453"/>
      <c r="H22" s="452">
        <f>SUM(H9:H21)</f>
        <v>27251.091560652214</v>
      </c>
      <c r="J22" s="452">
        <f>SUM(J9:J21)</f>
        <v>34082.005221932115</v>
      </c>
      <c r="L22" s="452">
        <f>SUM(L9:L21)</f>
        <v>107398.19829532319</v>
      </c>
      <c r="N22" s="452">
        <v>136328.02088772846</v>
      </c>
      <c r="P22" s="452">
        <v>28929.822592405268</v>
      </c>
      <c r="Q22" s="453"/>
      <c r="R22" s="452">
        <f>SUM(R9:R21)</f>
        <v>136328.02088772846</v>
      </c>
      <c r="T22" s="452">
        <f>SUM(T9:T21)</f>
        <v>28929.822592405268</v>
      </c>
      <c r="V22" s="453"/>
    </row>
    <row r="23" ht="13.5" thickTop="1"/>
    <row r="26" spans="2:20" ht="12.75">
      <c r="B26" s="445" t="s">
        <v>670</v>
      </c>
      <c r="F26" s="446">
        <v>1285</v>
      </c>
      <c r="G26" s="446"/>
      <c r="H26" s="446">
        <v>1778</v>
      </c>
      <c r="I26" s="446"/>
      <c r="J26" s="446">
        <v>1816</v>
      </c>
      <c r="K26" s="446"/>
      <c r="L26" s="709">
        <f>(H26+J26+F26*2)/4</f>
        <v>1541</v>
      </c>
      <c r="M26" s="709"/>
      <c r="N26" s="709">
        <v>1704</v>
      </c>
      <c r="O26" s="709"/>
      <c r="P26" s="708"/>
      <c r="Q26" s="708"/>
      <c r="R26" s="709">
        <v>1704</v>
      </c>
      <c r="T26" s="446"/>
    </row>
    <row r="27" spans="2:20" ht="12.75">
      <c r="B27" s="445" t="s">
        <v>674</v>
      </c>
      <c r="F27" s="454">
        <f>F22/F26</f>
        <v>35.84832802547771</v>
      </c>
      <c r="G27" s="454"/>
      <c r="H27" s="454">
        <f>H22/H26</f>
        <v>15.326823149973123</v>
      </c>
      <c r="J27" s="454">
        <f>J22/J26</f>
        <v>18.76762402088773</v>
      </c>
      <c r="L27" s="710">
        <f>L22/L26</f>
        <v>69.69383406575159</v>
      </c>
      <c r="M27" s="708"/>
      <c r="N27" s="710">
        <f>N22/N26</f>
        <v>80.00470709373737</v>
      </c>
      <c r="O27" s="708"/>
      <c r="P27" s="708"/>
      <c r="Q27" s="708"/>
      <c r="R27" s="710">
        <f>R22/R26</f>
        <v>80.00470709373737</v>
      </c>
      <c r="T27" s="455"/>
    </row>
    <row r="28" spans="6:18" ht="12.75">
      <c r="F28" s="454"/>
      <c r="G28" s="454"/>
      <c r="H28" s="454"/>
      <c r="J28" s="454"/>
      <c r="L28" s="455"/>
      <c r="N28" s="454"/>
      <c r="R28" s="454"/>
    </row>
    <row r="29" ht="14.25">
      <c r="B29" s="712" t="s">
        <v>114</v>
      </c>
    </row>
    <row r="30" spans="2:18" ht="14.25">
      <c r="B30" s="712" t="s">
        <v>671</v>
      </c>
      <c r="F30" s="454"/>
      <c r="G30" s="454"/>
      <c r="H30" s="454"/>
      <c r="J30" s="454"/>
      <c r="L30" s="455"/>
      <c r="N30" s="454"/>
      <c r="R30" s="454"/>
    </row>
    <row r="31" ht="12.75">
      <c r="B31" s="447"/>
    </row>
    <row r="32" spans="2:22" ht="12.75">
      <c r="B32" s="448" t="s">
        <v>110</v>
      </c>
      <c r="F32" s="436">
        <v>25955</v>
      </c>
      <c r="H32" s="436">
        <v>17400</v>
      </c>
      <c r="J32" s="683">
        <v>17980</v>
      </c>
      <c r="L32" s="684">
        <f>F32+H32+J32</f>
        <v>61335</v>
      </c>
      <c r="N32" s="685">
        <v>71920</v>
      </c>
      <c r="P32" s="446">
        <v>10585</v>
      </c>
      <c r="Q32" s="446"/>
      <c r="R32" s="685">
        <f>IF(R56=1,0,4*J32)</f>
        <v>0</v>
      </c>
      <c r="T32" s="446">
        <f>R32-L32</f>
        <v>-61335</v>
      </c>
      <c r="V32" s="450"/>
    </row>
    <row r="33" spans="2:22" ht="12.75">
      <c r="B33" s="448" t="s">
        <v>113</v>
      </c>
      <c r="F33" s="436">
        <f>13870+12730</f>
        <v>26600</v>
      </c>
      <c r="H33" s="436">
        <f>5320+17670</f>
        <v>22990</v>
      </c>
      <c r="J33" s="683">
        <f>5510+18240</f>
        <v>23750</v>
      </c>
      <c r="L33" s="684">
        <f>F33+H33+J33</f>
        <v>73340</v>
      </c>
      <c r="N33" s="685">
        <v>95000</v>
      </c>
      <c r="P33" s="446">
        <v>21660</v>
      </c>
      <c r="Q33" s="446"/>
      <c r="R33" s="685">
        <f>IF(R58=1,0,4*J33)</f>
        <v>0</v>
      </c>
      <c r="T33" s="446">
        <f>R33-L33</f>
        <v>-73340</v>
      </c>
      <c r="V33" s="450"/>
    </row>
    <row r="34" spans="6:20" ht="10.5" customHeight="1">
      <c r="F34" s="440"/>
      <c r="H34" s="440"/>
      <c r="J34" s="440"/>
      <c r="L34" s="440"/>
      <c r="N34" s="440"/>
      <c r="P34" s="440"/>
      <c r="Q34" s="451"/>
      <c r="R34" s="440"/>
      <c r="T34" s="440"/>
    </row>
    <row r="36" spans="6:22" ht="13.5" thickBot="1">
      <c r="F36" s="452">
        <f>SUM(F32:F35)</f>
        <v>52555</v>
      </c>
      <c r="H36" s="452">
        <f>SUM(H32:H35)</f>
        <v>40390</v>
      </c>
      <c r="J36" s="452">
        <f>SUM(J32:J35)</f>
        <v>41730</v>
      </c>
      <c r="L36" s="452">
        <f>SUM(L32:L35)</f>
        <v>134675</v>
      </c>
      <c r="N36" s="452">
        <v>166920</v>
      </c>
      <c r="P36" s="452">
        <v>32245</v>
      </c>
      <c r="Q36" s="453"/>
      <c r="R36" s="452">
        <f>SUM(R32:R35)</f>
        <v>0</v>
      </c>
      <c r="T36" s="452">
        <f>SUM(T32:T35)</f>
        <v>-134675</v>
      </c>
      <c r="V36" s="453"/>
    </row>
    <row r="37" ht="13.5" thickTop="1"/>
    <row r="39" spans="2:20" ht="13.5" thickBot="1">
      <c r="B39" s="708" t="s">
        <v>672</v>
      </c>
      <c r="F39" s="452">
        <f>F22+F36</f>
        <v>98620.10151273885</v>
      </c>
      <c r="H39" s="452">
        <f>H22+H36</f>
        <v>67641.09156065222</v>
      </c>
      <c r="J39" s="452">
        <f>J22+J36</f>
        <v>75812.00522193211</v>
      </c>
      <c r="L39" s="452">
        <f>L22+L36</f>
        <v>242073.19829532318</v>
      </c>
      <c r="N39" s="452">
        <f>N22+N36</f>
        <v>303248.02088772843</v>
      </c>
      <c r="P39" s="452">
        <f>P22+P36</f>
        <v>61174.82259240527</v>
      </c>
      <c r="Q39" s="453"/>
      <c r="R39" s="452">
        <f>R22+R36</f>
        <v>136328.02088772846</v>
      </c>
      <c r="T39" s="452">
        <f>T22+T36</f>
        <v>-105745.17740759473</v>
      </c>
    </row>
    <row r="40" ht="13.5" thickTop="1"/>
    <row r="41" spans="2:18" ht="12.75">
      <c r="B41" s="445" t="s">
        <v>673</v>
      </c>
      <c r="F41" s="454">
        <f>F39/F26</f>
        <v>76.74716071030261</v>
      </c>
      <c r="H41" s="454">
        <f>H39/H26</f>
        <v>38.04335858304399</v>
      </c>
      <c r="J41" s="454">
        <f>J39/J26</f>
        <v>41.74669891075557</v>
      </c>
      <c r="L41" s="711">
        <f>L39/L26</f>
        <v>157.08838305991122</v>
      </c>
      <c r="M41" s="708"/>
      <c r="N41" s="711">
        <f>N39/N26</f>
        <v>177.96245357261057</v>
      </c>
      <c r="O41" s="708"/>
      <c r="P41" s="708"/>
      <c r="Q41" s="708"/>
      <c r="R41" s="711">
        <f>R39/R26</f>
        <v>80.00470709373737</v>
      </c>
    </row>
    <row r="43" ht="13.5" thickBot="1"/>
    <row r="44" spans="2:3" ht="13.5" thickBot="1">
      <c r="B44" s="630" t="s">
        <v>597</v>
      </c>
      <c r="C44" s="631"/>
    </row>
    <row r="45" ht="12.75">
      <c r="B45" s="456" t="s">
        <v>115</v>
      </c>
    </row>
    <row r="46" spans="2:3" ht="12.75">
      <c r="B46" s="2" t="s">
        <v>581</v>
      </c>
      <c r="C46" s="2" t="s">
        <v>582</v>
      </c>
    </row>
    <row r="47" spans="2:3" ht="12.75">
      <c r="B47" s="2" t="s">
        <v>583</v>
      </c>
      <c r="C47" s="2" t="s">
        <v>582</v>
      </c>
    </row>
    <row r="48" spans="2:3" ht="12.75">
      <c r="B48"/>
      <c r="C48"/>
    </row>
    <row r="49" spans="2:18" ht="12.75">
      <c r="B49" t="s">
        <v>584</v>
      </c>
      <c r="C49" t="s">
        <v>585</v>
      </c>
      <c r="R49" s="682"/>
    </row>
    <row r="50" spans="2:3" ht="13.5" thickBot="1">
      <c r="B50"/>
      <c r="C50"/>
    </row>
    <row r="51" spans="2:4" ht="13.5" thickBot="1">
      <c r="B51" s="634" t="s">
        <v>586</v>
      </c>
      <c r="C51" s="518" t="s">
        <v>587</v>
      </c>
      <c r="D51" s="629"/>
    </row>
    <row r="55" spans="7:18" ht="12.75">
      <c r="G55" s="688"/>
      <c r="H55" s="689"/>
      <c r="I55" s="689"/>
      <c r="J55" s="689"/>
      <c r="K55" s="689"/>
      <c r="L55" s="689"/>
      <c r="M55" s="689"/>
      <c r="N55" s="689"/>
      <c r="O55" s="689"/>
      <c r="P55" s="689"/>
      <c r="Q55" s="689"/>
      <c r="R55" s="690"/>
    </row>
    <row r="56" spans="7:18" ht="14.25">
      <c r="G56" s="691"/>
      <c r="H56" s="692" t="s">
        <v>657</v>
      </c>
      <c r="I56" s="692"/>
      <c r="J56" s="692"/>
      <c r="K56" s="692"/>
      <c r="L56" s="451"/>
      <c r="M56" s="451"/>
      <c r="N56" s="451"/>
      <c r="O56" s="451"/>
      <c r="P56" s="451"/>
      <c r="Q56" s="451"/>
      <c r="R56" s="693">
        <v>1</v>
      </c>
    </row>
    <row r="57" spans="7:18" ht="14.25">
      <c r="G57" s="691"/>
      <c r="H57" s="692"/>
      <c r="I57" s="692"/>
      <c r="J57" s="692"/>
      <c r="K57" s="692"/>
      <c r="L57" s="692"/>
      <c r="M57" s="451"/>
      <c r="N57" s="451"/>
      <c r="O57" s="451"/>
      <c r="P57" s="451"/>
      <c r="Q57" s="451"/>
      <c r="R57" s="694"/>
    </row>
    <row r="58" spans="7:18" ht="14.25">
      <c r="G58" s="691"/>
      <c r="H58" s="692" t="s">
        <v>658</v>
      </c>
      <c r="I58" s="692"/>
      <c r="J58" s="692"/>
      <c r="K58" s="692"/>
      <c r="L58" s="451"/>
      <c r="M58" s="451"/>
      <c r="N58" s="451"/>
      <c r="O58" s="451"/>
      <c r="P58" s="451"/>
      <c r="Q58" s="451"/>
      <c r="R58" s="693">
        <v>1</v>
      </c>
    </row>
    <row r="59" spans="7:18" ht="12.75">
      <c r="G59" s="695"/>
      <c r="H59" s="440"/>
      <c r="I59" s="440"/>
      <c r="J59" s="440"/>
      <c r="K59" s="440"/>
      <c r="L59" s="440"/>
      <c r="M59" s="440"/>
      <c r="N59" s="440"/>
      <c r="O59" s="440"/>
      <c r="P59" s="440"/>
      <c r="Q59" s="440"/>
      <c r="R59" s="696"/>
    </row>
    <row r="63" ht="12.75">
      <c r="J63" s="445"/>
    </row>
    <row r="65" ht="12.75">
      <c r="J65" s="445"/>
    </row>
  </sheetData>
  <mergeCells count="2">
    <mergeCell ref="N3:P3"/>
    <mergeCell ref="R3:T3"/>
  </mergeCells>
  <printOptions horizontalCentered="1" verticalCentered="1"/>
  <pageMargins left="0.75" right="0.75" top="1" bottom="1" header="0.5" footer="0.5"/>
  <pageSetup fitToHeight="1" fitToWidth="1" orientation="landscape" scale="75" r:id="rId1"/>
  <headerFooter alignWithMargins="0">
    <oddHeader>&amp;R&amp;"Verdana,Bold"&amp;14
</oddHeader>
    <oddFooter>&amp;LGUD No. 9731&amp;RFinal Order</oddFooter>
  </headerFooter>
</worksheet>
</file>

<file path=xl/worksheets/sheet11.xml><?xml version="1.0" encoding="utf-8"?>
<worksheet xmlns="http://schemas.openxmlformats.org/spreadsheetml/2006/main" xmlns:r="http://schemas.openxmlformats.org/officeDocument/2006/relationships">
  <sheetPr codeName="Sheet11">
    <tabColor indexed="49"/>
  </sheetPr>
  <dimension ref="A1:N32"/>
  <sheetViews>
    <sheetView zoomScale="75" zoomScaleNormal="75" workbookViewId="0" topLeftCell="A1">
      <selection activeCell="K4" sqref="K4"/>
    </sheetView>
  </sheetViews>
  <sheetFormatPr defaultColWidth="9.140625" defaultRowHeight="12.75"/>
  <cols>
    <col min="1" max="1" width="5.7109375" style="0" customWidth="1"/>
    <col min="2" max="2" width="1.7109375" style="0" customWidth="1"/>
    <col min="3" max="3" width="23.421875" style="0" bestFit="1" customWidth="1"/>
    <col min="4" max="4" width="1.7109375" style="0" customWidth="1"/>
    <col min="5" max="5" width="12.7109375" style="0" customWidth="1"/>
    <col min="6" max="6" width="1.7109375" style="0" customWidth="1"/>
    <col min="7" max="7" width="15.00390625" style="0" bestFit="1" customWidth="1"/>
    <col min="8" max="8" width="1.7109375" style="0" customWidth="1"/>
    <col min="9" max="9" width="17.140625" style="0" bestFit="1" customWidth="1"/>
    <col min="10" max="10" width="1.1484375" style="0" customWidth="1"/>
    <col min="11" max="11" width="13.00390625" style="0" customWidth="1"/>
    <col min="12" max="12" width="1.28515625" style="0" customWidth="1"/>
    <col min="13" max="13" width="16.00390625" style="0" bestFit="1" customWidth="1"/>
  </cols>
  <sheetData>
    <row r="1" spans="1:10" ht="12.75">
      <c r="A1" s="2"/>
      <c r="B1" s="2"/>
      <c r="C1" s="2"/>
      <c r="D1" s="2"/>
      <c r="E1" s="2"/>
      <c r="F1" s="2"/>
      <c r="G1" s="2"/>
      <c r="H1" s="2"/>
      <c r="I1" s="2"/>
      <c r="J1" s="2"/>
    </row>
    <row r="2" spans="1:13" ht="12.75">
      <c r="A2" s="2"/>
      <c r="B2" s="2"/>
      <c r="C2" s="2"/>
      <c r="D2" s="2"/>
      <c r="E2" s="2"/>
      <c r="F2" s="2"/>
      <c r="G2" s="2"/>
      <c r="H2" s="2"/>
      <c r="J2" s="2"/>
      <c r="M2" s="185" t="s">
        <v>723</v>
      </c>
    </row>
    <row r="3" spans="1:13" ht="12.75">
      <c r="A3" s="80" t="str">
        <f>'Schedule A'!$A$3</f>
        <v>HUGHES NATURAL GAS </v>
      </c>
      <c r="B3" s="60"/>
      <c r="C3" s="33"/>
      <c r="D3" s="33"/>
      <c r="E3" s="33"/>
      <c r="F3" s="33"/>
      <c r="G3" s="75"/>
      <c r="H3" s="75"/>
      <c r="I3" s="75"/>
      <c r="J3" s="575"/>
      <c r="K3" s="461"/>
      <c r="L3" s="461"/>
      <c r="M3" s="461"/>
    </row>
    <row r="4" spans="1:13" ht="12.75">
      <c r="A4" s="80" t="str">
        <f>'Schedule A'!$A$4</f>
        <v>TEST YEAR ENDING DECEMBER 31, 2006</v>
      </c>
      <c r="B4" s="60"/>
      <c r="C4" s="33"/>
      <c r="D4" s="33"/>
      <c r="E4" s="33"/>
      <c r="F4" s="33"/>
      <c r="G4" s="76"/>
      <c r="H4" s="75"/>
      <c r="I4" s="75"/>
      <c r="J4" s="33"/>
      <c r="K4" s="461"/>
      <c r="L4" s="461"/>
      <c r="M4" s="461"/>
    </row>
    <row r="5" spans="1:13" ht="12.75">
      <c r="A5" s="61"/>
      <c r="B5" s="61"/>
      <c r="C5" s="33"/>
      <c r="D5" s="33"/>
      <c r="E5" s="33"/>
      <c r="F5" s="33"/>
      <c r="G5" s="61"/>
      <c r="H5" s="61"/>
      <c r="I5" s="61"/>
      <c r="J5" s="33"/>
      <c r="K5" s="33"/>
      <c r="L5" s="33"/>
      <c r="M5" s="33"/>
    </row>
    <row r="6" spans="1:13" ht="13.5" thickBot="1">
      <c r="A6" s="62" t="s">
        <v>445</v>
      </c>
      <c r="B6" s="62"/>
      <c r="C6" s="33"/>
      <c r="D6" s="33"/>
      <c r="E6" s="33"/>
      <c r="F6" s="33"/>
      <c r="G6" s="61"/>
      <c r="H6" s="61"/>
      <c r="I6" s="61"/>
      <c r="J6" s="33"/>
      <c r="K6" s="33"/>
      <c r="L6" s="33"/>
      <c r="M6" s="33"/>
    </row>
    <row r="7" spans="1:13" ht="13.5" thickBot="1">
      <c r="A7" s="2"/>
      <c r="B7" s="2"/>
      <c r="C7" s="2"/>
      <c r="D7" s="2"/>
      <c r="E7" s="2"/>
      <c r="F7" s="2"/>
      <c r="G7" s="2"/>
      <c r="H7" s="2"/>
      <c r="I7" s="2"/>
      <c r="J7" s="2"/>
      <c r="K7" s="2"/>
      <c r="L7" s="2"/>
      <c r="M7" s="119" t="s">
        <v>65</v>
      </c>
    </row>
    <row r="8" spans="1:13" ht="12.75">
      <c r="A8" s="119" t="s">
        <v>486</v>
      </c>
      <c r="B8" s="2"/>
      <c r="C8" s="92"/>
      <c r="D8" s="6"/>
      <c r="E8" s="91" t="s">
        <v>439</v>
      </c>
      <c r="F8" s="77"/>
      <c r="G8" s="88" t="s">
        <v>66</v>
      </c>
      <c r="H8" s="74"/>
      <c r="I8" s="119" t="s">
        <v>485</v>
      </c>
      <c r="J8" s="6"/>
      <c r="K8" s="119" t="s">
        <v>62</v>
      </c>
      <c r="L8" s="2"/>
      <c r="M8" s="120" t="s">
        <v>63</v>
      </c>
    </row>
    <row r="9" spans="1:13" ht="13.5" thickBot="1">
      <c r="A9" s="97" t="s">
        <v>552</v>
      </c>
      <c r="B9" s="67"/>
      <c r="C9" s="90" t="s">
        <v>553</v>
      </c>
      <c r="D9" s="67"/>
      <c r="E9" s="90" t="s">
        <v>485</v>
      </c>
      <c r="F9" s="77"/>
      <c r="G9" s="89" t="s">
        <v>430</v>
      </c>
      <c r="H9" s="74"/>
      <c r="I9" s="90" t="s">
        <v>505</v>
      </c>
      <c r="J9" s="45"/>
      <c r="K9" s="97" t="s">
        <v>499</v>
      </c>
      <c r="L9" s="2"/>
      <c r="M9" s="97" t="s">
        <v>64</v>
      </c>
    </row>
    <row r="10" spans="1:13" ht="12.75">
      <c r="A10" s="2"/>
      <c r="B10" s="2"/>
      <c r="C10" s="17" t="s">
        <v>404</v>
      </c>
      <c r="D10" s="2"/>
      <c r="E10" s="18" t="s">
        <v>405</v>
      </c>
      <c r="F10" s="18"/>
      <c r="G10" s="18" t="s">
        <v>551</v>
      </c>
      <c r="H10" s="6"/>
      <c r="I10" s="19" t="s">
        <v>406</v>
      </c>
      <c r="J10" s="19"/>
      <c r="K10" s="19" t="s">
        <v>550</v>
      </c>
      <c r="L10" s="2"/>
      <c r="M10" s="19" t="s">
        <v>555</v>
      </c>
    </row>
    <row r="11" spans="1:13" ht="12.75">
      <c r="A11" s="2"/>
      <c r="B11" s="2"/>
      <c r="C11" s="2"/>
      <c r="D11" s="6"/>
      <c r="E11" s="6"/>
      <c r="F11" s="6"/>
      <c r="G11" s="6"/>
      <c r="H11" s="6"/>
      <c r="I11" s="6"/>
      <c r="J11" s="6"/>
      <c r="K11" s="2"/>
      <c r="L11" s="2"/>
      <c r="M11" s="2"/>
    </row>
    <row r="12" spans="1:13" ht="13.5">
      <c r="A12" s="2"/>
      <c r="B12" s="2"/>
      <c r="C12" s="40" t="s">
        <v>429</v>
      </c>
      <c r="D12" s="2"/>
      <c r="E12" s="2"/>
      <c r="F12" s="2"/>
      <c r="G12" s="2"/>
      <c r="H12" s="2"/>
      <c r="I12" s="2"/>
      <c r="J12" s="2"/>
      <c r="K12" s="2"/>
      <c r="L12" s="2"/>
      <c r="M12" s="2"/>
    </row>
    <row r="13" spans="1:14" ht="12.75">
      <c r="A13" s="3">
        <v>1</v>
      </c>
      <c r="B13" s="2"/>
      <c r="C13" s="2" t="s">
        <v>428</v>
      </c>
      <c r="D13" s="2"/>
      <c r="E13" s="566">
        <v>1243888.24</v>
      </c>
      <c r="F13" s="566"/>
      <c r="G13" s="55">
        <f>I13-E13</f>
        <v>-737164.1883453589</v>
      </c>
      <c r="H13" s="566"/>
      <c r="I13" s="566">
        <f>'Schedule D-1'!E53</f>
        <v>506724.05165464105</v>
      </c>
      <c r="J13" s="566"/>
      <c r="K13" s="566">
        <f>+'Schedule D-1'!G12+'Schedule D-1'!I12+'Schedule D-1'!K12+'Schedule D-1'!K16+'Schedule D-1'!I16+'Schedule D-1'!G16+'Schedule D-1'!G20+'Schedule D-1'!I20+'Schedule D-1'!K20+'Schedule D-1'!G24+'Schedule D-1'!I24+'Schedule D-1'!K24+'Schedule D-1'!M12</f>
        <v>102120.65457713847</v>
      </c>
      <c r="L13" s="566"/>
      <c r="M13" s="566">
        <f>+K13+I13</f>
        <v>608844.7062317795</v>
      </c>
      <c r="N13" s="2"/>
    </row>
    <row r="14" spans="1:14" ht="13.5" thickBot="1">
      <c r="A14" s="3">
        <v>2</v>
      </c>
      <c r="B14" s="2"/>
      <c r="C14" s="2" t="s">
        <v>533</v>
      </c>
      <c r="D14" s="2"/>
      <c r="E14" s="569">
        <v>215936.6</v>
      </c>
      <c r="F14" s="566"/>
      <c r="G14" s="104">
        <f>I14-E14</f>
        <v>-119291.51819806977</v>
      </c>
      <c r="H14" s="566"/>
      <c r="I14" s="569">
        <f>'Schedule D-1'!E54</f>
        <v>96645.08180193024</v>
      </c>
      <c r="J14" s="566"/>
      <c r="K14" s="569">
        <f>+'Schedule D-1'!G28+'Schedule D-1'!I28+'Schedule D-1'!K28+'Schedule D-1'!K32+'Schedule D-1'!I32+'Schedule D-1'!G32+'Schedule D-1'!G36+'Schedule D-1'!I36+'Schedule D-1'!K36+'Schedule D-1'!M28</f>
        <v>65497.733376024844</v>
      </c>
      <c r="L14" s="566"/>
      <c r="M14" s="569">
        <f>+K14+I14</f>
        <v>162142.81517795508</v>
      </c>
      <c r="N14" s="2"/>
    </row>
    <row r="15" spans="1:14" ht="12.75">
      <c r="A15" s="3">
        <v>3</v>
      </c>
      <c r="B15" s="2"/>
      <c r="C15" s="2" t="s">
        <v>504</v>
      </c>
      <c r="D15" s="2"/>
      <c r="E15" s="572">
        <f>SUM(E13:E14)</f>
        <v>1459824.84</v>
      </c>
      <c r="F15" s="566"/>
      <c r="G15" s="105">
        <f>SUM(G13:G14)</f>
        <v>-856455.7065434287</v>
      </c>
      <c r="H15" s="566"/>
      <c r="I15" s="572"/>
      <c r="J15" s="566"/>
      <c r="K15" s="566"/>
      <c r="L15" s="566"/>
      <c r="M15" s="566"/>
      <c r="N15" s="2"/>
    </row>
    <row r="16" spans="1:14" ht="12.75">
      <c r="A16" s="3"/>
      <c r="B16" s="2"/>
      <c r="C16" s="2"/>
      <c r="D16" s="2"/>
      <c r="E16" s="2"/>
      <c r="F16" s="2"/>
      <c r="G16" s="41"/>
      <c r="H16" s="41"/>
      <c r="I16" s="41"/>
      <c r="J16" s="41"/>
      <c r="K16" s="2"/>
      <c r="L16" s="2"/>
      <c r="M16" s="2"/>
      <c r="N16" s="2"/>
    </row>
    <row r="17" spans="1:14" ht="13.5" thickBot="1">
      <c r="A17" s="3">
        <v>4</v>
      </c>
      <c r="B17" s="2"/>
      <c r="C17" s="43" t="s">
        <v>505</v>
      </c>
      <c r="D17" s="43"/>
      <c r="E17" s="71"/>
      <c r="F17" s="43"/>
      <c r="G17" s="71"/>
      <c r="H17" s="43"/>
      <c r="I17" s="182">
        <f>SUM(I13:I15)</f>
        <v>603369.1334565713</v>
      </c>
      <c r="J17" s="635"/>
      <c r="K17" s="636">
        <f>+K14+K13</f>
        <v>167618.3879531633</v>
      </c>
      <c r="L17" s="2"/>
      <c r="M17" s="573">
        <f>+M14+M13</f>
        <v>770987.5214097346</v>
      </c>
      <c r="N17" s="2"/>
    </row>
    <row r="18" spans="1:14" ht="13.5" thickTop="1">
      <c r="A18" s="3"/>
      <c r="B18" s="2"/>
      <c r="C18" s="2"/>
      <c r="D18" s="2"/>
      <c r="E18" s="2"/>
      <c r="F18" s="2"/>
      <c r="G18" s="41"/>
      <c r="H18" s="41"/>
      <c r="I18" s="166"/>
      <c r="J18" s="173"/>
      <c r="K18" s="174"/>
      <c r="L18" s="2"/>
      <c r="M18" s="2"/>
      <c r="N18" s="2"/>
    </row>
    <row r="19" spans="1:14" ht="13.5">
      <c r="A19" s="3"/>
      <c r="B19" s="2"/>
      <c r="C19" s="40" t="s">
        <v>503</v>
      </c>
      <c r="D19" s="2"/>
      <c r="E19" s="2"/>
      <c r="F19" s="2"/>
      <c r="G19" s="2"/>
      <c r="H19" s="2"/>
      <c r="I19" s="179"/>
      <c r="J19" s="174"/>
      <c r="K19" s="174"/>
      <c r="L19" s="2"/>
      <c r="M19" s="2"/>
      <c r="N19" s="2"/>
    </row>
    <row r="20" spans="1:14" ht="12.75">
      <c r="A20" s="3">
        <v>5</v>
      </c>
      <c r="B20" s="2"/>
      <c r="C20" s="2" t="s">
        <v>506</v>
      </c>
      <c r="D20" s="2"/>
      <c r="E20" s="143"/>
      <c r="F20" s="6"/>
      <c r="G20" s="70"/>
      <c r="H20" s="2"/>
      <c r="I20" s="166">
        <v>322.94</v>
      </c>
      <c r="J20" s="173"/>
      <c r="K20" s="171">
        <f>+'Schedule D-2'!K13</f>
        <v>-323</v>
      </c>
      <c r="L20" s="2"/>
      <c r="M20" s="55">
        <f>+K20+I20</f>
        <v>-0.060000000000002274</v>
      </c>
      <c r="N20" s="2"/>
    </row>
    <row r="21" spans="1:14" ht="12.75">
      <c r="A21" s="3">
        <v>6</v>
      </c>
      <c r="B21" s="2"/>
      <c r="C21" s="2" t="s">
        <v>507</v>
      </c>
      <c r="D21" s="2"/>
      <c r="E21" s="70"/>
      <c r="F21" s="6"/>
      <c r="G21" s="70"/>
      <c r="H21" s="2"/>
      <c r="I21" s="166">
        <f>'Schedule D-2'!G15</f>
        <v>10910</v>
      </c>
      <c r="J21" s="173"/>
      <c r="K21" s="171">
        <f>+'Schedule D-2'!K15</f>
        <v>1755</v>
      </c>
      <c r="L21" s="2"/>
      <c r="M21" s="55">
        <f>+K21+I21</f>
        <v>12665</v>
      </c>
      <c r="N21" s="2"/>
    </row>
    <row r="22" spans="1:14" ht="12.75">
      <c r="A22" s="3">
        <v>7</v>
      </c>
      <c r="B22" s="2"/>
      <c r="C22" s="2" t="s">
        <v>508</v>
      </c>
      <c r="D22" s="2"/>
      <c r="E22" s="70"/>
      <c r="F22" s="6"/>
      <c r="G22" s="70"/>
      <c r="H22" s="2"/>
      <c r="I22" s="166">
        <f>'Schedule D-2'!G21</f>
        <v>2745</v>
      </c>
      <c r="J22" s="173"/>
      <c r="K22" s="171">
        <f>+'Schedule D-2'!K21</f>
        <v>1125</v>
      </c>
      <c r="L22" s="2"/>
      <c r="M22" s="55">
        <f>+K22+I22</f>
        <v>3870</v>
      </c>
      <c r="N22" s="2"/>
    </row>
    <row r="23" spans="1:14" ht="12.75">
      <c r="A23" s="3">
        <v>8</v>
      </c>
      <c r="B23" s="2"/>
      <c r="C23" s="2" t="s">
        <v>509</v>
      </c>
      <c r="D23" s="2"/>
      <c r="E23" s="70"/>
      <c r="F23" s="6"/>
      <c r="G23" s="70"/>
      <c r="H23" s="2"/>
      <c r="I23" s="166">
        <f>'Schedule D-2'!G27</f>
        <v>360</v>
      </c>
      <c r="J23" s="173"/>
      <c r="K23" s="171">
        <f>+'Schedule D-2'!K27</f>
        <v>210</v>
      </c>
      <c r="L23" s="2"/>
      <c r="M23" s="55">
        <f>+K23+I23</f>
        <v>570</v>
      </c>
      <c r="N23" s="2"/>
    </row>
    <row r="24" spans="1:14" ht="13.5" thickBot="1">
      <c r="A24" s="3">
        <v>9</v>
      </c>
      <c r="B24" s="2"/>
      <c r="C24" s="2" t="s">
        <v>446</v>
      </c>
      <c r="D24" s="2"/>
      <c r="E24" s="70"/>
      <c r="F24" s="6"/>
      <c r="G24" s="70"/>
      <c r="H24" s="2"/>
      <c r="I24" s="637">
        <f>+G24+E24</f>
        <v>0</v>
      </c>
      <c r="J24" s="166"/>
      <c r="K24" s="202">
        <f>+'Schedule D-2'!K33</f>
        <v>0</v>
      </c>
      <c r="L24" s="2"/>
      <c r="M24" s="104">
        <f>+K24+I24</f>
        <v>0</v>
      </c>
      <c r="N24" s="2"/>
    </row>
    <row r="25" spans="1:14" ht="12.75">
      <c r="A25" s="3"/>
      <c r="B25" s="2"/>
      <c r="C25" s="2"/>
      <c r="D25" s="2"/>
      <c r="E25" s="70"/>
      <c r="F25" s="6"/>
      <c r="G25" s="70"/>
      <c r="H25" s="2"/>
      <c r="I25" s="166"/>
      <c r="J25" s="174"/>
      <c r="K25" s="174"/>
      <c r="L25" s="2"/>
      <c r="M25" s="2"/>
      <c r="N25" s="2"/>
    </row>
    <row r="26" spans="1:14" ht="12.75">
      <c r="A26" s="3">
        <v>10</v>
      </c>
      <c r="B26" s="2"/>
      <c r="C26" s="43" t="s">
        <v>510</v>
      </c>
      <c r="D26" s="43"/>
      <c r="E26" s="71"/>
      <c r="F26" s="71"/>
      <c r="G26" s="71"/>
      <c r="H26" s="43"/>
      <c r="I26" s="164">
        <f>SUM(I20:I24)</f>
        <v>14337.94</v>
      </c>
      <c r="J26" s="638"/>
      <c r="K26" s="164">
        <f>SUM(K20:K24)</f>
        <v>2767</v>
      </c>
      <c r="L26" s="2"/>
      <c r="M26" s="105">
        <f>SUM(M20:M24)</f>
        <v>17104.940000000002</v>
      </c>
      <c r="N26" s="2"/>
    </row>
    <row r="27" spans="1:14" ht="12.75">
      <c r="A27" s="3"/>
      <c r="B27" s="2"/>
      <c r="C27" s="2"/>
      <c r="D27" s="2"/>
      <c r="E27" s="6"/>
      <c r="F27" s="6"/>
      <c r="G27" s="6"/>
      <c r="H27" s="2"/>
      <c r="I27" s="179"/>
      <c r="J27" s="174"/>
      <c r="K27" s="174"/>
      <c r="L27" s="2"/>
      <c r="M27" s="2"/>
      <c r="N27" s="2"/>
    </row>
    <row r="28" spans="1:14" ht="13.5" thickBot="1">
      <c r="A28" s="3"/>
      <c r="B28" s="2"/>
      <c r="C28" s="2"/>
      <c r="D28" s="2"/>
      <c r="E28" s="6"/>
      <c r="F28" s="6"/>
      <c r="G28" s="6"/>
      <c r="H28" s="2"/>
      <c r="I28" s="201"/>
      <c r="J28" s="174"/>
      <c r="K28" s="201"/>
      <c r="L28" s="2"/>
      <c r="M28" s="42"/>
      <c r="N28" s="2"/>
    </row>
    <row r="29" spans="1:14" ht="13.5" thickBot="1">
      <c r="A29" s="3">
        <v>11</v>
      </c>
      <c r="B29" s="2"/>
      <c r="C29" s="1" t="s">
        <v>482</v>
      </c>
      <c r="D29" s="2"/>
      <c r="E29" s="71"/>
      <c r="F29" s="6"/>
      <c r="G29" s="71"/>
      <c r="H29" s="2"/>
      <c r="I29" s="639">
        <f>+I26+I17</f>
        <v>617707.0734565712</v>
      </c>
      <c r="J29" s="635"/>
      <c r="K29" s="639">
        <f>+K26+K17</f>
        <v>170385.3879531633</v>
      </c>
      <c r="L29" s="2"/>
      <c r="M29" s="574">
        <f>+M26+M17</f>
        <v>788092.4614097346</v>
      </c>
      <c r="N29" s="2"/>
    </row>
    <row r="30" spans="1:14" ht="13.5" thickTop="1">
      <c r="A30" s="2"/>
      <c r="B30" s="2"/>
      <c r="C30" s="2"/>
      <c r="D30" s="2"/>
      <c r="E30" s="6"/>
      <c r="F30" s="6"/>
      <c r="G30" s="6"/>
      <c r="H30" s="2"/>
      <c r="I30" s="174"/>
      <c r="J30" s="174"/>
      <c r="K30" s="174"/>
      <c r="L30" s="2"/>
      <c r="M30" s="2"/>
      <c r="N30" s="2"/>
    </row>
    <row r="31" spans="1:13" ht="12.75">
      <c r="A31" s="2"/>
      <c r="B31" s="2"/>
      <c r="C31" s="2"/>
      <c r="D31" s="2"/>
      <c r="E31" s="2"/>
      <c r="F31" s="2"/>
      <c r="G31" s="2"/>
      <c r="H31" s="2"/>
      <c r="I31" s="174"/>
      <c r="J31" s="174"/>
      <c r="K31" s="174"/>
      <c r="L31" s="2"/>
      <c r="M31" s="2"/>
    </row>
    <row r="32" spans="1:4" ht="12.75">
      <c r="A32" s="2"/>
      <c r="B32" s="2"/>
      <c r="C32" s="2"/>
      <c r="D32" s="2"/>
    </row>
  </sheetData>
  <printOptions horizontalCentered="1"/>
  <pageMargins left="0.5" right="0.5" top="1.25" bottom="0.25" header="0.5" footer="0.5"/>
  <pageSetup horizontalDpi="600" verticalDpi="600" orientation="landscape" scale="90" r:id="rId1"/>
  <headerFooter alignWithMargins="0">
    <oddFooter>&amp;LGUD No. 9731&amp;RFinal Order</oddFooter>
  </headerFooter>
</worksheet>
</file>

<file path=xl/worksheets/sheet12.xml><?xml version="1.0" encoding="utf-8"?>
<worksheet xmlns="http://schemas.openxmlformats.org/spreadsheetml/2006/main" xmlns:r="http://schemas.openxmlformats.org/officeDocument/2006/relationships">
  <sheetPr codeName="Sheet12">
    <tabColor indexed="49"/>
    <pageSetUpPr fitToPage="1"/>
  </sheetPr>
  <dimension ref="A1:R55"/>
  <sheetViews>
    <sheetView zoomScale="75" zoomScaleNormal="75" zoomScaleSheetLayoutView="125" workbookViewId="0" topLeftCell="A1">
      <selection activeCell="K3" sqref="K3"/>
    </sheetView>
  </sheetViews>
  <sheetFormatPr defaultColWidth="9.140625" defaultRowHeight="12.75"/>
  <cols>
    <col min="1" max="1" width="5.7109375" style="0" customWidth="1"/>
    <col min="2" max="2" width="0.85546875" style="0" customWidth="1"/>
    <col min="3" max="3" width="40.28125" style="0" customWidth="1"/>
    <col min="4" max="4" width="0.85546875" style="0" customWidth="1"/>
    <col min="5" max="5" width="14.28125" style="0" customWidth="1"/>
    <col min="6" max="6" width="1.7109375" style="0" customWidth="1"/>
    <col min="7" max="7" width="21.140625" style="0" bestFit="1" customWidth="1"/>
    <col min="8" max="8" width="0.85546875" style="0" customWidth="1"/>
    <col min="9" max="9" width="19.00390625" style="0" bestFit="1" customWidth="1"/>
    <col min="10" max="10" width="1.28515625" style="0" customWidth="1"/>
    <col min="11" max="11" width="13.7109375" style="0" bestFit="1" customWidth="1"/>
    <col min="12" max="12" width="0.71875" style="0" customWidth="1"/>
    <col min="13" max="13" width="24.00390625" style="0" bestFit="1" customWidth="1"/>
    <col min="14" max="14" width="0.9921875" style="0" customWidth="1"/>
    <col min="15" max="15" width="18.00390625" style="0" bestFit="1" customWidth="1"/>
    <col min="16" max="16" width="7.140625" style="0" customWidth="1"/>
    <col min="17" max="17" width="13.421875" style="0" customWidth="1"/>
    <col min="18" max="18" width="10.421875" style="0" customWidth="1"/>
  </cols>
  <sheetData>
    <row r="1" spans="1:16" ht="15.75">
      <c r="A1" s="2"/>
      <c r="B1" s="2"/>
      <c r="C1" s="2"/>
      <c r="D1" s="2"/>
      <c r="E1" s="2"/>
      <c r="F1" s="2"/>
      <c r="G1" s="2"/>
      <c r="H1" s="2"/>
      <c r="I1" s="2"/>
      <c r="J1" s="2"/>
      <c r="K1" s="2"/>
      <c r="L1" s="2"/>
      <c r="M1" s="2"/>
      <c r="N1" s="2"/>
      <c r="O1" s="132" t="s">
        <v>724</v>
      </c>
      <c r="P1" s="2"/>
    </row>
    <row r="2" spans="1:16" ht="12.75">
      <c r="A2" s="80" t="str">
        <f>'Schedule A'!$A$3</f>
        <v>HUGHES NATURAL GAS </v>
      </c>
      <c r="B2" s="34"/>
      <c r="C2" s="34"/>
      <c r="D2" s="34"/>
      <c r="E2" s="34"/>
      <c r="F2" s="34"/>
      <c r="G2" s="34"/>
      <c r="H2" s="34"/>
      <c r="I2" s="34"/>
      <c r="J2" s="34"/>
      <c r="K2" s="34"/>
      <c r="L2" s="34"/>
      <c r="M2" s="34"/>
      <c r="N2" s="34"/>
      <c r="O2" s="34"/>
      <c r="P2" s="3"/>
    </row>
    <row r="3" spans="1:16" ht="12.75">
      <c r="A3" s="80" t="str">
        <f>'Schedule A'!$A$4</f>
        <v>TEST YEAR ENDING DECEMBER 31, 2006</v>
      </c>
      <c r="B3" s="34"/>
      <c r="C3" s="34"/>
      <c r="D3" s="34"/>
      <c r="E3" s="34"/>
      <c r="F3" s="34"/>
      <c r="G3" s="34"/>
      <c r="H3" s="34"/>
      <c r="I3" s="34"/>
      <c r="J3" s="34"/>
      <c r="K3" s="34"/>
      <c r="L3" s="34"/>
      <c r="M3" s="34"/>
      <c r="N3" s="34"/>
      <c r="O3" s="34"/>
      <c r="P3" s="3"/>
    </row>
    <row r="4" spans="1:16" ht="5.25" customHeight="1">
      <c r="A4" s="2"/>
      <c r="B4" s="2"/>
      <c r="C4" s="2"/>
      <c r="D4" s="2"/>
      <c r="E4" s="2"/>
      <c r="F4" s="2"/>
      <c r="G4" s="2"/>
      <c r="H4" s="2"/>
      <c r="I4" s="2"/>
      <c r="J4" s="2"/>
      <c r="K4" s="2"/>
      <c r="L4" s="2"/>
      <c r="M4" s="2"/>
      <c r="N4" s="2"/>
      <c r="O4" s="2"/>
      <c r="P4" s="2"/>
    </row>
    <row r="5" spans="1:16" ht="12.75">
      <c r="A5" s="34" t="s">
        <v>454</v>
      </c>
      <c r="B5" s="33"/>
      <c r="C5" s="33"/>
      <c r="D5" s="33"/>
      <c r="E5" s="33"/>
      <c r="F5" s="33"/>
      <c r="G5" s="33"/>
      <c r="H5" s="33"/>
      <c r="I5" s="33"/>
      <c r="J5" s="33"/>
      <c r="K5" s="33"/>
      <c r="L5" s="33"/>
      <c r="M5" s="33"/>
      <c r="N5" s="33"/>
      <c r="O5" s="33"/>
      <c r="P5" s="2"/>
    </row>
    <row r="6" spans="1:15" ht="6" customHeight="1" thickBot="1">
      <c r="A6" s="2"/>
      <c r="B6" s="2"/>
      <c r="C6" s="2"/>
      <c r="D6" s="2"/>
      <c r="E6" s="2"/>
      <c r="F6" s="2"/>
      <c r="G6" s="2"/>
      <c r="H6" s="2"/>
      <c r="I6" s="2"/>
      <c r="J6" s="2"/>
      <c r="K6" s="2"/>
      <c r="L6" s="2"/>
      <c r="M6" s="2"/>
      <c r="N6" s="2"/>
      <c r="O6" s="2"/>
    </row>
    <row r="7" spans="1:15" ht="13.5" thickBot="1">
      <c r="A7" s="119"/>
      <c r="B7" s="6"/>
      <c r="C7" s="92"/>
      <c r="D7" s="2"/>
      <c r="E7" s="119" t="s">
        <v>69</v>
      </c>
      <c r="F7" s="2"/>
      <c r="G7" s="745" t="s">
        <v>67</v>
      </c>
      <c r="H7" s="746"/>
      <c r="I7" s="746"/>
      <c r="J7" s="746"/>
      <c r="K7" s="747"/>
      <c r="L7" s="625"/>
      <c r="M7" s="640" t="s">
        <v>24</v>
      </c>
      <c r="N7" s="2"/>
      <c r="O7" s="119" t="s">
        <v>447</v>
      </c>
    </row>
    <row r="8" spans="1:15" ht="12.75">
      <c r="A8" s="120" t="s">
        <v>486</v>
      </c>
      <c r="B8" s="58"/>
      <c r="C8" s="121"/>
      <c r="D8" s="2"/>
      <c r="E8" s="121" t="s">
        <v>68</v>
      </c>
      <c r="F8" s="2"/>
      <c r="G8" s="120" t="s">
        <v>407</v>
      </c>
      <c r="H8" s="58"/>
      <c r="I8" s="120" t="s">
        <v>408</v>
      </c>
      <c r="J8" s="58"/>
      <c r="K8" s="120" t="s">
        <v>529</v>
      </c>
      <c r="L8" s="58"/>
      <c r="M8" s="641" t="s">
        <v>23</v>
      </c>
      <c r="N8" s="2"/>
      <c r="O8" s="121" t="s">
        <v>466</v>
      </c>
    </row>
    <row r="9" spans="1:15" ht="13.5" thickBot="1">
      <c r="A9" s="97" t="s">
        <v>552</v>
      </c>
      <c r="B9" s="58"/>
      <c r="C9" s="90" t="s">
        <v>553</v>
      </c>
      <c r="D9" s="2"/>
      <c r="E9" s="90" t="s">
        <v>490</v>
      </c>
      <c r="F9" s="2"/>
      <c r="G9" s="89" t="s">
        <v>109</v>
      </c>
      <c r="H9" s="576"/>
      <c r="I9" s="89" t="s">
        <v>109</v>
      </c>
      <c r="J9" s="576"/>
      <c r="K9" s="89" t="s">
        <v>109</v>
      </c>
      <c r="L9" s="576"/>
      <c r="M9" s="642" t="s">
        <v>22</v>
      </c>
      <c r="N9" s="2"/>
      <c r="O9" s="90" t="s">
        <v>490</v>
      </c>
    </row>
    <row r="10" spans="1:15" ht="12.75">
      <c r="A10" s="58"/>
      <c r="B10" s="58"/>
      <c r="C10" s="66" t="s">
        <v>404</v>
      </c>
      <c r="D10" s="67"/>
      <c r="E10" s="64" t="s">
        <v>405</v>
      </c>
      <c r="F10" s="64"/>
      <c r="G10" s="65" t="s">
        <v>551</v>
      </c>
      <c r="H10" s="65"/>
      <c r="I10" s="65" t="s">
        <v>406</v>
      </c>
      <c r="J10" s="65"/>
      <c r="K10" s="65" t="s">
        <v>550</v>
      </c>
      <c r="L10" s="65"/>
      <c r="M10" s="65" t="s">
        <v>555</v>
      </c>
      <c r="N10" s="67"/>
      <c r="O10" s="65" t="s">
        <v>481</v>
      </c>
    </row>
    <row r="11" spans="1:15" ht="8.25" customHeight="1">
      <c r="A11" s="2"/>
      <c r="B11" s="2"/>
      <c r="C11" s="174"/>
      <c r="D11" s="2"/>
      <c r="E11" s="2"/>
      <c r="F11" s="2"/>
      <c r="G11" s="2"/>
      <c r="H11" s="2"/>
      <c r="I11" s="2"/>
      <c r="J11" s="2"/>
      <c r="K11" s="2"/>
      <c r="L11" s="2"/>
      <c r="M11" s="2"/>
      <c r="N11" s="2"/>
      <c r="O11" s="2"/>
    </row>
    <row r="12" spans="1:15" ht="12.75">
      <c r="A12" s="3">
        <v>1</v>
      </c>
      <c r="B12" s="2"/>
      <c r="C12" s="186" t="s">
        <v>608</v>
      </c>
      <c r="D12" s="2"/>
      <c r="E12" s="171">
        <f>5.75*E13+12.5*E14</f>
        <v>26003.347762758887</v>
      </c>
      <c r="F12" s="171"/>
      <c r="G12" s="171">
        <f>5.75*G13+12.5*G14</f>
        <v>22028.543107428184</v>
      </c>
      <c r="H12" s="164"/>
      <c r="I12" s="171">
        <f>5.75*I13+12.5*I14</f>
        <v>-3711.5429999999997</v>
      </c>
      <c r="J12" s="164"/>
      <c r="K12" s="171">
        <f>5.75*K13+12.5*K14</f>
        <v>70.79121377675781</v>
      </c>
      <c r="L12" s="171"/>
      <c r="M12" s="171">
        <f>(3*O14)+(O13*0.65)</f>
        <v>7684.215722535042</v>
      </c>
      <c r="N12" s="171"/>
      <c r="O12" s="171">
        <f>+K12+I12+G12+E12+M12</f>
        <v>52075.35480649887</v>
      </c>
    </row>
    <row r="13" spans="1:15" ht="12.75">
      <c r="A13" s="3">
        <v>2</v>
      </c>
      <c r="B13" s="2"/>
      <c r="C13" s="186" t="s">
        <v>409</v>
      </c>
      <c r="D13" s="2"/>
      <c r="E13" s="172">
        <f>+'WP1 Sch D-1'!W86</f>
        <v>2302.7561326537198</v>
      </c>
      <c r="F13" s="171"/>
      <c r="G13" s="172">
        <f>+'WP1 Sch D-1'!W55</f>
        <v>2091.920540422293</v>
      </c>
      <c r="H13" s="165"/>
      <c r="I13" s="172">
        <f>2.404*I14</f>
        <v>-338.964</v>
      </c>
      <c r="J13" s="165"/>
      <c r="K13" s="172">
        <f>'WP2 Sch D-1'!F29</f>
        <v>12.31151543943614</v>
      </c>
      <c r="L13" s="172"/>
      <c r="M13" s="172"/>
      <c r="N13" s="171"/>
      <c r="O13" s="172">
        <f>E13+G13+I13+K13</f>
        <v>4068.024188515449</v>
      </c>
    </row>
    <row r="14" spans="1:15" ht="12.75">
      <c r="A14" s="3">
        <v>3</v>
      </c>
      <c r="B14" s="2"/>
      <c r="C14" s="186" t="s">
        <v>410</v>
      </c>
      <c r="D14" s="2"/>
      <c r="E14" s="173">
        <f>+'WP1 Sch D-1'!V23</f>
        <v>1021</v>
      </c>
      <c r="F14" s="667"/>
      <c r="G14" s="173">
        <f>+'WP1 Sch D-1'!V55</f>
        <v>800</v>
      </c>
      <c r="H14" s="173"/>
      <c r="I14" s="173">
        <v>-141</v>
      </c>
      <c r="J14" s="166"/>
      <c r="K14" s="173">
        <v>0</v>
      </c>
      <c r="L14" s="173"/>
      <c r="M14" s="173"/>
      <c r="N14" s="171"/>
      <c r="O14" s="173">
        <f>E14+G14+I14+K14</f>
        <v>1680</v>
      </c>
    </row>
    <row r="15" spans="1:15" ht="5.25" customHeight="1">
      <c r="A15" s="3"/>
      <c r="B15" s="2"/>
      <c r="C15" s="186"/>
      <c r="D15" s="2"/>
      <c r="E15" s="174"/>
      <c r="F15" s="171"/>
      <c r="G15" s="171"/>
      <c r="H15" s="164"/>
      <c r="I15" s="171"/>
      <c r="J15" s="164"/>
      <c r="K15" s="171"/>
      <c r="L15" s="171"/>
      <c r="M15" s="171"/>
      <c r="N15" s="171"/>
      <c r="O15" s="171"/>
    </row>
    <row r="16" spans="1:15" ht="12.75">
      <c r="A16" s="3">
        <v>4</v>
      </c>
      <c r="B16" s="2"/>
      <c r="C16" s="186" t="s">
        <v>609</v>
      </c>
      <c r="D16" s="2"/>
      <c r="E16" s="171">
        <f>3.8*E17+12.5*E18</f>
        <v>444247.1854045532</v>
      </c>
      <c r="F16" s="171"/>
      <c r="G16" s="171">
        <f>3.8*G17+12.5*G18</f>
        <v>0</v>
      </c>
      <c r="H16" s="164"/>
      <c r="I16" s="171">
        <f>3.8*I17+12.5*I18</f>
        <v>31361.420799999996</v>
      </c>
      <c r="J16" s="164"/>
      <c r="K16" s="171">
        <f>3.8*K17+12.5*K18</f>
        <v>7951.3727237991</v>
      </c>
      <c r="L16" s="171"/>
      <c r="M16" s="171"/>
      <c r="N16" s="171"/>
      <c r="O16" s="171">
        <f>+K16+I16+G16+E16</f>
        <v>483559.9789283523</v>
      </c>
    </row>
    <row r="17" spans="1:15" ht="12.75">
      <c r="A17" s="3">
        <v>5</v>
      </c>
      <c r="B17" s="2"/>
      <c r="C17" s="186" t="s">
        <v>409</v>
      </c>
      <c r="D17" s="2"/>
      <c r="E17" s="172">
        <f>+'WP1 Sch D-1'!K86</f>
        <v>66393.99615909296</v>
      </c>
      <c r="F17" s="171"/>
      <c r="G17" s="172">
        <v>0</v>
      </c>
      <c r="H17" s="165"/>
      <c r="I17" s="172">
        <f>4.324*I18</f>
        <v>4687.215999999999</v>
      </c>
      <c r="J17" s="165"/>
      <c r="K17" s="172">
        <f>'WP2 Sch D-1'!F33</f>
        <v>2092.466506262921</v>
      </c>
      <c r="L17" s="172"/>
      <c r="M17" s="172"/>
      <c r="N17" s="171"/>
      <c r="O17" s="172">
        <f>E17+G17+I17+K17</f>
        <v>73173.67866535588</v>
      </c>
    </row>
    <row r="18" spans="1:15" ht="12.75">
      <c r="A18" s="3">
        <v>6</v>
      </c>
      <c r="B18" s="2"/>
      <c r="C18" s="186" t="s">
        <v>410</v>
      </c>
      <c r="D18" s="2"/>
      <c r="E18" s="173">
        <f>+'WP1 Sch D-1'!J23</f>
        <v>15356</v>
      </c>
      <c r="F18" s="667"/>
      <c r="G18" s="173">
        <v>0</v>
      </c>
      <c r="H18" s="166"/>
      <c r="I18" s="173">
        <v>1084</v>
      </c>
      <c r="J18" s="166"/>
      <c r="K18" s="173">
        <v>0</v>
      </c>
      <c r="L18" s="173"/>
      <c r="M18" s="173"/>
      <c r="N18" s="171"/>
      <c r="O18" s="173">
        <f>E18+G18+I18+K18</f>
        <v>16440</v>
      </c>
    </row>
    <row r="19" spans="1:15" ht="7.5" customHeight="1">
      <c r="A19" s="3"/>
      <c r="B19" s="2"/>
      <c r="C19" s="186"/>
      <c r="D19" s="2"/>
      <c r="E19" s="173"/>
      <c r="F19" s="171"/>
      <c r="G19" s="173"/>
      <c r="H19" s="166"/>
      <c r="I19" s="173"/>
      <c r="J19" s="166"/>
      <c r="K19" s="173"/>
      <c r="L19" s="173"/>
      <c r="M19" s="173"/>
      <c r="N19" s="171"/>
      <c r="O19" s="173"/>
    </row>
    <row r="20" spans="1:15" ht="12.75">
      <c r="A20" s="3">
        <v>7</v>
      </c>
      <c r="B20" s="2"/>
      <c r="C20" s="186" t="s">
        <v>610</v>
      </c>
      <c r="D20" s="2"/>
      <c r="E20" s="171">
        <f>2.51*E21+6*E22</f>
        <v>5997.401</v>
      </c>
      <c r="F20" s="171"/>
      <c r="G20" s="171">
        <f>2.51*G21+6*G22</f>
        <v>7769.377244729754</v>
      </c>
      <c r="H20" s="164"/>
      <c r="I20" s="171">
        <f>2.51*I21+6*I22</f>
        <v>-188.33128</v>
      </c>
      <c r="J20" s="164"/>
      <c r="K20" s="171">
        <f>2.51*K21+6*K22</f>
        <v>320.76881715887004</v>
      </c>
      <c r="L20" s="171"/>
      <c r="M20" s="171"/>
      <c r="N20" s="171"/>
      <c r="O20" s="171">
        <f>+K20+I20+G20+E20</f>
        <v>13899.215781888624</v>
      </c>
    </row>
    <row r="21" spans="1:15" ht="12.75">
      <c r="A21" s="3">
        <v>8</v>
      </c>
      <c r="B21" s="2"/>
      <c r="C21" s="186" t="s">
        <v>409</v>
      </c>
      <c r="D21" s="2"/>
      <c r="E21" s="172">
        <f>+'WP1 Sch D-1'!M86</f>
        <v>1665.1</v>
      </c>
      <c r="F21" s="172"/>
      <c r="G21" s="172">
        <f>+'WP1 Sch D-1'!M55</f>
        <v>2074.6522887369542</v>
      </c>
      <c r="H21" s="165"/>
      <c r="I21" s="172">
        <f>5.1128*I22</f>
        <v>-51.128</v>
      </c>
      <c r="J21" s="166"/>
      <c r="K21" s="172">
        <f>'WP2 Sch D-1'!F37</f>
        <v>127.7963414975578</v>
      </c>
      <c r="L21" s="172"/>
      <c r="M21" s="172"/>
      <c r="N21" s="171"/>
      <c r="O21" s="172">
        <f>E21+G21+I21+K21</f>
        <v>3816.420630234512</v>
      </c>
    </row>
    <row r="22" spans="1:15" ht="12.75">
      <c r="A22" s="3">
        <v>9</v>
      </c>
      <c r="B22" s="2"/>
      <c r="C22" s="186" t="s">
        <v>410</v>
      </c>
      <c r="D22" s="2"/>
      <c r="E22" s="173">
        <f>+'WP1 Sch D-1'!L23</f>
        <v>303</v>
      </c>
      <c r="F22" s="667"/>
      <c r="G22" s="173">
        <f>+'WP1 Sch D-1'!L55</f>
        <v>427</v>
      </c>
      <c r="H22" s="166"/>
      <c r="I22" s="173">
        <v>-10</v>
      </c>
      <c r="J22" s="166"/>
      <c r="K22" s="173">
        <v>0</v>
      </c>
      <c r="L22" s="173"/>
      <c r="M22" s="173"/>
      <c r="N22" s="171"/>
      <c r="O22" s="173">
        <f>E22+G22+I22+K22</f>
        <v>720</v>
      </c>
    </row>
    <row r="23" spans="1:15" ht="6.75" customHeight="1">
      <c r="A23" s="3"/>
      <c r="B23" s="2"/>
      <c r="C23" s="186"/>
      <c r="D23" s="2"/>
      <c r="E23" s="173"/>
      <c r="F23" s="171"/>
      <c r="G23" s="173"/>
      <c r="H23" s="166"/>
      <c r="I23" s="173"/>
      <c r="J23" s="166"/>
      <c r="K23" s="173"/>
      <c r="L23" s="173"/>
      <c r="M23" s="173"/>
      <c r="N23" s="171"/>
      <c r="O23" s="173"/>
    </row>
    <row r="24" spans="1:15" ht="12.75">
      <c r="A24" s="3">
        <v>10</v>
      </c>
      <c r="B24" s="2"/>
      <c r="C24" s="186" t="s">
        <v>611</v>
      </c>
      <c r="D24" s="2"/>
      <c r="E24" s="171">
        <f>5.75*E25+1510*12.5</f>
        <v>30476.117487328935</v>
      </c>
      <c r="F24" s="171"/>
      <c r="G24" s="171">
        <f>5.75*G25+12.5*G26</f>
        <v>22579.37183183684</v>
      </c>
      <c r="H24" s="164"/>
      <c r="I24" s="171">
        <f>5.75*I25+12.5*I26</f>
        <v>6961.479</v>
      </c>
      <c r="J24" s="164"/>
      <c r="K24" s="171">
        <f>5.75*K25+12.5*K26</f>
        <v>-706.8116041260624</v>
      </c>
      <c r="L24" s="171"/>
      <c r="M24" s="171"/>
      <c r="N24" s="171"/>
      <c r="O24" s="171">
        <f>+K24+I24+G24+E24</f>
        <v>59310.15671503972</v>
      </c>
    </row>
    <row r="25" spans="1:15" ht="12.75">
      <c r="A25" s="3">
        <v>11</v>
      </c>
      <c r="B25" s="2"/>
      <c r="C25" s="186" t="s">
        <v>409</v>
      </c>
      <c r="D25" s="2"/>
      <c r="E25" s="172">
        <f>+'WP1 Sch D-1'!U86</f>
        <v>2017.585649970249</v>
      </c>
      <c r="F25" s="171"/>
      <c r="G25" s="173">
        <f>+'WP1 Sch D-1'!U55</f>
        <v>1883.3690142324945</v>
      </c>
      <c r="H25" s="166"/>
      <c r="I25" s="173">
        <f>1.586*I26</f>
        <v>510.692</v>
      </c>
      <c r="J25" s="166"/>
      <c r="K25" s="172">
        <f>'WP2 Sch D-1'!F41</f>
        <v>-122.92375723931521</v>
      </c>
      <c r="L25" s="172"/>
      <c r="M25" s="172"/>
      <c r="N25" s="171"/>
      <c r="O25" s="172">
        <f>E25+G25+I25+K25</f>
        <v>4288.722906963429</v>
      </c>
    </row>
    <row r="26" spans="1:15" ht="12.75">
      <c r="A26" s="3">
        <v>12</v>
      </c>
      <c r="B26" s="2"/>
      <c r="C26" s="186" t="s">
        <v>410</v>
      </c>
      <c r="D26" s="2"/>
      <c r="E26" s="173">
        <f>+'WP1 Sch D-1'!T23</f>
        <v>1510</v>
      </c>
      <c r="F26" s="667"/>
      <c r="G26" s="173">
        <f>+'WP1 Sch D-1'!T55</f>
        <v>940</v>
      </c>
      <c r="H26" s="166"/>
      <c r="I26" s="173">
        <v>322</v>
      </c>
      <c r="J26" s="166"/>
      <c r="K26" s="173">
        <v>0</v>
      </c>
      <c r="L26" s="173"/>
      <c r="M26" s="173"/>
      <c r="N26" s="171"/>
      <c r="O26" s="173">
        <f>E26+G26+I26+K26</f>
        <v>2772</v>
      </c>
    </row>
    <row r="27" spans="1:15" ht="7.5" customHeight="1">
      <c r="A27" s="3"/>
      <c r="B27" s="2"/>
      <c r="C27" s="186"/>
      <c r="D27" s="2"/>
      <c r="E27" s="171" t="s">
        <v>439</v>
      </c>
      <c r="F27" s="171"/>
      <c r="G27" s="171"/>
      <c r="H27" s="164"/>
      <c r="I27" s="171"/>
      <c r="J27" s="164"/>
      <c r="K27" s="171"/>
      <c r="L27" s="171"/>
      <c r="M27" s="171"/>
      <c r="N27" s="171"/>
      <c r="O27" s="171"/>
    </row>
    <row r="28" spans="1:15" ht="12.75">
      <c r="A28" s="3">
        <v>13</v>
      </c>
      <c r="B28" s="2"/>
      <c r="C28" s="186" t="s">
        <v>612</v>
      </c>
      <c r="D28" s="2"/>
      <c r="E28" s="171">
        <f>5.75*E29+12.5*E30</f>
        <v>50253.32859324257</v>
      </c>
      <c r="F28" s="171"/>
      <c r="G28" s="171">
        <f>5.75*G29+12.5*G30</f>
        <v>40475.8947065546</v>
      </c>
      <c r="H28" s="164"/>
      <c r="I28" s="171">
        <f>5.75*I29+12.5*I30</f>
        <v>-5897.5776000000005</v>
      </c>
      <c r="J28" s="164"/>
      <c r="K28" s="171">
        <f>5.75*K29+12.5*K30</f>
        <v>4495.425445990895</v>
      </c>
      <c r="L28" s="171"/>
      <c r="M28" s="171">
        <f>(3*O30)+(O29*0.65)</f>
        <v>10916.712390393433</v>
      </c>
      <c r="N28" s="171"/>
      <c r="O28" s="171">
        <f>+K28+I28+G28+E28+M28</f>
        <v>100243.7835361815</v>
      </c>
    </row>
    <row r="29" spans="1:15" ht="12.75">
      <c r="A29" s="3">
        <v>14</v>
      </c>
      <c r="B29" s="2"/>
      <c r="C29" s="186" t="s">
        <v>409</v>
      </c>
      <c r="D29" s="2"/>
      <c r="E29" s="163">
        <f>+'WP1 Sch D-1'!S86</f>
        <v>8072.318016216099</v>
      </c>
      <c r="F29" s="171"/>
      <c r="G29" s="172">
        <f>+'WP1 Sch D-1'!S55</f>
        <v>6506.677340270366</v>
      </c>
      <c r="H29" s="165"/>
      <c r="I29" s="172">
        <f>26.3168*I30</f>
        <v>-947.4048</v>
      </c>
      <c r="J29" s="165"/>
      <c r="K29" s="172">
        <f>'WP2 Sch D-1'!F45</f>
        <v>781.8131210418949</v>
      </c>
      <c r="L29" s="172"/>
      <c r="M29" s="172"/>
      <c r="N29" s="171"/>
      <c r="O29" s="172">
        <f>E29+G29+I29+K29</f>
        <v>14413.403677528358</v>
      </c>
    </row>
    <row r="30" spans="1:15" ht="12.75">
      <c r="A30" s="3">
        <v>15</v>
      </c>
      <c r="B30" s="2"/>
      <c r="C30" s="186" t="s">
        <v>410</v>
      </c>
      <c r="D30" s="2"/>
      <c r="E30" s="173">
        <f>+'WP1 Sch D-1'!R23</f>
        <v>307</v>
      </c>
      <c r="F30" s="667"/>
      <c r="G30" s="173">
        <f>+'WP1 Sch D-1'!R55</f>
        <v>245</v>
      </c>
      <c r="H30" s="166"/>
      <c r="I30" s="173">
        <v>-36</v>
      </c>
      <c r="J30" s="166"/>
      <c r="K30" s="173">
        <v>0</v>
      </c>
      <c r="L30" s="173"/>
      <c r="M30" s="173"/>
      <c r="N30" s="171"/>
      <c r="O30" s="173">
        <f>E30+G30+I30+K30</f>
        <v>516</v>
      </c>
    </row>
    <row r="31" spans="1:15" ht="7.5" customHeight="1">
      <c r="A31" s="3"/>
      <c r="B31" s="2"/>
      <c r="C31" s="186"/>
      <c r="D31" s="2"/>
      <c r="E31" s="173"/>
      <c r="F31" s="171"/>
      <c r="G31" s="173"/>
      <c r="H31" s="166"/>
      <c r="I31" s="173"/>
      <c r="J31" s="166"/>
      <c r="K31" s="173"/>
      <c r="L31" s="173"/>
      <c r="M31" s="173"/>
      <c r="N31" s="171"/>
      <c r="O31" s="173"/>
    </row>
    <row r="32" spans="1:15" ht="12.75">
      <c r="A32" s="3">
        <v>16</v>
      </c>
      <c r="B32" s="2"/>
      <c r="C32" s="186" t="s">
        <v>613</v>
      </c>
      <c r="D32" s="2"/>
      <c r="E32" s="171">
        <f>E33*3.8+12.5*E34</f>
        <v>12630.572052018068</v>
      </c>
      <c r="F32" s="171"/>
      <c r="G32" s="171">
        <v>0</v>
      </c>
      <c r="H32" s="164"/>
      <c r="I32" s="171">
        <v>0</v>
      </c>
      <c r="J32" s="164"/>
      <c r="K32" s="171">
        <f>K33*3.8+12.5*K34</f>
        <v>601.3619925015263</v>
      </c>
      <c r="L32" s="171"/>
      <c r="M32" s="171"/>
      <c r="N32" s="171"/>
      <c r="O32" s="171">
        <f>+K32+I32+G32+E32</f>
        <v>13231.934044519594</v>
      </c>
    </row>
    <row r="33" spans="1:15" ht="12.75">
      <c r="A33" s="3">
        <v>17</v>
      </c>
      <c r="B33" s="2"/>
      <c r="C33" s="186" t="s">
        <v>409</v>
      </c>
      <c r="D33" s="2"/>
      <c r="E33" s="172">
        <f>+'WP1 Sch D-1'!O86</f>
        <v>2850.150540004755</v>
      </c>
      <c r="F33" s="171"/>
      <c r="G33" s="173">
        <v>0</v>
      </c>
      <c r="H33" s="166"/>
      <c r="I33" s="173">
        <v>0</v>
      </c>
      <c r="J33" s="166"/>
      <c r="K33" s="172">
        <f>'WP2 Sch D-1'!F49</f>
        <v>158.2531559214543</v>
      </c>
      <c r="L33" s="172"/>
      <c r="M33" s="172"/>
      <c r="N33" s="171"/>
      <c r="O33" s="172">
        <f>E33+G33+I33+K33</f>
        <v>3008.4036959262094</v>
      </c>
    </row>
    <row r="34" spans="1:15" ht="12.75">
      <c r="A34" s="3">
        <v>18</v>
      </c>
      <c r="B34" s="2"/>
      <c r="C34" s="186" t="s">
        <v>410</v>
      </c>
      <c r="D34" s="2"/>
      <c r="E34" s="173">
        <f>+'WP1 Sch D-1'!N23</f>
        <v>144</v>
      </c>
      <c r="F34" s="667"/>
      <c r="G34" s="173">
        <v>0</v>
      </c>
      <c r="H34" s="166"/>
      <c r="I34" s="173">
        <v>0</v>
      </c>
      <c r="J34" s="166"/>
      <c r="K34" s="173">
        <v>0</v>
      </c>
      <c r="L34" s="173"/>
      <c r="M34" s="173"/>
      <c r="N34" s="171"/>
      <c r="O34" s="173">
        <f>E34+G34+I34+K34</f>
        <v>144</v>
      </c>
    </row>
    <row r="35" spans="1:15" ht="8.25" customHeight="1">
      <c r="A35" s="3"/>
      <c r="B35" s="2"/>
      <c r="C35" s="186"/>
      <c r="D35" s="2"/>
      <c r="E35" s="174"/>
      <c r="F35" s="171"/>
      <c r="G35" s="171"/>
      <c r="H35" s="164"/>
      <c r="I35" s="171"/>
      <c r="J35" s="164"/>
      <c r="K35" s="171"/>
      <c r="L35" s="171"/>
      <c r="M35" s="171"/>
      <c r="N35" s="171"/>
      <c r="O35" s="171"/>
    </row>
    <row r="36" spans="1:15" ht="12.75">
      <c r="A36" s="3">
        <v>19</v>
      </c>
      <c r="B36" s="2"/>
      <c r="C36" s="186" t="s">
        <v>614</v>
      </c>
      <c r="D36" s="2"/>
      <c r="E36" s="164">
        <f>5.75*E37+12.5*E38</f>
        <v>33761.181156669605</v>
      </c>
      <c r="F36" s="164"/>
      <c r="G36" s="164">
        <f>5.75*G37+12.5*G38</f>
        <v>27367.504983806433</v>
      </c>
      <c r="H36" s="164"/>
      <c r="I36" s="164">
        <f>5.75*I37+12.5*I38</f>
        <v>-15228.564</v>
      </c>
      <c r="J36" s="164"/>
      <c r="K36" s="164">
        <f>5.75*K37+12.5*K38</f>
        <v>2766.9754567779546</v>
      </c>
      <c r="L36" s="164"/>
      <c r="M36" s="164"/>
      <c r="N36" s="164"/>
      <c r="O36" s="171">
        <f>+K36+I36+G36+E36</f>
        <v>48667.09759725399</v>
      </c>
    </row>
    <row r="37" spans="1:15" ht="12.75">
      <c r="A37" s="3">
        <v>20</v>
      </c>
      <c r="B37" s="2"/>
      <c r="C37" s="186" t="s">
        <v>409</v>
      </c>
      <c r="D37" s="2"/>
      <c r="E37" s="175">
        <f>+'WP1 Sch D-1'!Q86</f>
        <v>5760.640201159931</v>
      </c>
      <c r="F37" s="171"/>
      <c r="G37" s="165">
        <f>+'WP1 Sch D-1'!Q55</f>
        <v>4661.739997183728</v>
      </c>
      <c r="H37" s="165"/>
      <c r="I37" s="165">
        <f>108.178*I38</f>
        <v>-2596.272</v>
      </c>
      <c r="J37" s="165"/>
      <c r="K37" s="172">
        <f>'WP2 Sch D-1'!F53</f>
        <v>481.21312291790514</v>
      </c>
      <c r="L37" s="172"/>
      <c r="M37" s="172"/>
      <c r="N37" s="171"/>
      <c r="O37" s="172">
        <f>E37+G37+I37+K37</f>
        <v>8307.321321261565</v>
      </c>
    </row>
    <row r="38" spans="1:15" ht="12.75">
      <c r="A38" s="3">
        <v>21</v>
      </c>
      <c r="B38" s="2"/>
      <c r="C38" s="1" t="s">
        <v>410</v>
      </c>
      <c r="D38" s="2"/>
      <c r="E38" s="176">
        <f>+'WP1 Sch D-1'!P23</f>
        <v>51</v>
      </c>
      <c r="F38" s="667"/>
      <c r="G38" s="176">
        <f>+'WP1 Sch D-1'!P55</f>
        <v>45</v>
      </c>
      <c r="H38" s="166"/>
      <c r="I38" s="176">
        <v>-24</v>
      </c>
      <c r="J38" s="166"/>
      <c r="K38" s="176">
        <v>0</v>
      </c>
      <c r="L38" s="166"/>
      <c r="M38" s="176"/>
      <c r="N38" s="171"/>
      <c r="O38" s="176">
        <f>E38+G38+I38+K38</f>
        <v>72</v>
      </c>
    </row>
    <row r="39" spans="1:15" ht="8.25" customHeight="1">
      <c r="A39" s="3"/>
      <c r="B39" s="2"/>
      <c r="C39" s="1"/>
      <c r="D39" s="2"/>
      <c r="E39" s="2"/>
      <c r="F39" s="55"/>
      <c r="G39" s="55"/>
      <c r="H39" s="55"/>
      <c r="I39" s="55"/>
      <c r="J39" s="55"/>
      <c r="K39" s="55"/>
      <c r="L39" s="55"/>
      <c r="M39" s="55"/>
      <c r="N39" s="55"/>
      <c r="O39" s="55"/>
    </row>
    <row r="40" spans="1:15" ht="13.5" thickBot="1">
      <c r="A40" s="3">
        <v>22</v>
      </c>
      <c r="B40" s="2"/>
      <c r="C40" s="1" t="s">
        <v>570</v>
      </c>
      <c r="D40" s="2"/>
      <c r="E40" s="44">
        <f>E12+E16+E28+E36+E20+E24+E32</f>
        <v>603369.1334565711</v>
      </c>
      <c r="F40" s="2"/>
      <c r="G40" s="44">
        <f>G12+G16+G28+G36+G20+G24+G32</f>
        <v>120220.6918743558</v>
      </c>
      <c r="H40" s="71"/>
      <c r="I40" s="44">
        <f>I12+I16+I28+I36+I20+I24+I32</f>
        <v>13296.883919999993</v>
      </c>
      <c r="J40" s="71"/>
      <c r="K40" s="44">
        <f>K12+K16+K28+K36+K20+K24+K32</f>
        <v>15499.884045879042</v>
      </c>
      <c r="L40" s="71"/>
      <c r="M40" s="44">
        <f>M12+M16+M28+M36+M20+M24+M32</f>
        <v>18600.928112928475</v>
      </c>
      <c r="N40" s="2"/>
      <c r="O40" s="44">
        <f>O12+O16+O28+O36+O20+O24+O32</f>
        <v>770987.5214097345</v>
      </c>
    </row>
    <row r="41" spans="1:18" ht="13.5" thickTop="1">
      <c r="A41" s="3">
        <f>+A40+1</f>
        <v>23</v>
      </c>
      <c r="B41" s="2"/>
      <c r="C41" s="1" t="s">
        <v>571</v>
      </c>
      <c r="D41" s="2"/>
      <c r="E41" s="184">
        <f>E13+E17+E29+E37+E21+E25+E33</f>
        <v>89062.54669909773</v>
      </c>
      <c r="F41" s="6"/>
      <c r="G41" s="184">
        <f>G13+G17+G29+G37+G21+G25+G33</f>
        <v>17218.359180845833</v>
      </c>
      <c r="H41" s="184"/>
      <c r="I41" s="184">
        <f>I13+I17+I29+I37+I21+I25+I33</f>
        <v>1264.1391999999992</v>
      </c>
      <c r="J41" s="184"/>
      <c r="K41" s="184">
        <f>K13+K17+K29+K37+K21+K25+K33</f>
        <v>3530.9300058418544</v>
      </c>
      <c r="L41" s="184"/>
      <c r="M41" s="184">
        <f>M13+M17+M29+M37+M21+M25+M33</f>
        <v>0</v>
      </c>
      <c r="N41" s="6"/>
      <c r="O41" s="184">
        <f>O13+O17+O29+O37+O21+O25+O33</f>
        <v>111075.97508578542</v>
      </c>
      <c r="P41" s="2"/>
      <c r="Q41" s="55"/>
      <c r="R41" s="162"/>
    </row>
    <row r="42" spans="1:18" ht="12.75">
      <c r="A42" s="3">
        <f>+A41+1</f>
        <v>24</v>
      </c>
      <c r="B42" s="2"/>
      <c r="C42" s="1" t="s">
        <v>622</v>
      </c>
      <c r="D42" s="2"/>
      <c r="E42" s="72">
        <f>E14+E18+E30+E38+E22+E26+E34</f>
        <v>18692</v>
      </c>
      <c r="F42" s="6"/>
      <c r="G42" s="72">
        <f>G14+G18+G30+G38+G22+G26+G34</f>
        <v>2457</v>
      </c>
      <c r="H42" s="72"/>
      <c r="I42" s="72">
        <f>I14+I18+I30+I38+I22+I26+I34</f>
        <v>1195</v>
      </c>
      <c r="J42" s="72"/>
      <c r="K42" s="72">
        <f>K14+K18+K30+K38+K22+K26+K34</f>
        <v>0</v>
      </c>
      <c r="L42" s="72"/>
      <c r="M42" s="72">
        <f>M14+M18+M30+M38+M22+M26+M34</f>
        <v>0</v>
      </c>
      <c r="N42" s="6"/>
      <c r="O42" s="72">
        <f>O14+O18+O30+O38+O22+O26+O34</f>
        <v>22344</v>
      </c>
      <c r="P42" s="2"/>
      <c r="Q42" s="55"/>
      <c r="R42" s="162"/>
    </row>
    <row r="43" spans="1:17" ht="13.5" thickBot="1">
      <c r="A43" s="6"/>
      <c r="B43" s="6"/>
      <c r="D43" s="6"/>
      <c r="E43" s="105" t="s">
        <v>439</v>
      </c>
      <c r="F43" s="2"/>
      <c r="G43" s="2"/>
      <c r="H43" s="2"/>
      <c r="I43" s="2"/>
      <c r="J43" s="2"/>
      <c r="K43" s="2"/>
      <c r="L43" s="2"/>
      <c r="M43" s="2"/>
      <c r="N43" s="2"/>
      <c r="O43" s="2"/>
      <c r="P43" s="2"/>
      <c r="Q43" s="2"/>
    </row>
    <row r="44" spans="3:17" ht="13.5" thickBot="1">
      <c r="C44" s="658" t="s">
        <v>618</v>
      </c>
      <c r="D44" s="6"/>
      <c r="E44" s="105"/>
      <c r="F44" s="2"/>
      <c r="G44" s="2"/>
      <c r="H44" s="2"/>
      <c r="I44" s="2"/>
      <c r="J44" s="2"/>
      <c r="K44" s="2"/>
      <c r="L44" s="2"/>
      <c r="M44" s="2"/>
      <c r="N44" s="2"/>
      <c r="O44" s="2"/>
      <c r="P44" s="2"/>
      <c r="Q44" s="2"/>
    </row>
    <row r="45" spans="3:17" ht="12.75">
      <c r="C45" s="659" t="s">
        <v>619</v>
      </c>
      <c r="D45" s="2"/>
      <c r="E45" s="2"/>
      <c r="F45" s="2"/>
      <c r="K45" s="2"/>
      <c r="L45" s="2"/>
      <c r="M45" s="2"/>
      <c r="N45" s="2"/>
      <c r="O45" s="2"/>
      <c r="P45" s="2"/>
      <c r="Q45" s="2"/>
    </row>
    <row r="46" ht="12.75">
      <c r="C46" s="660" t="s">
        <v>620</v>
      </c>
    </row>
    <row r="47" ht="13.5" thickBot="1">
      <c r="C47" s="661" t="s">
        <v>621</v>
      </c>
    </row>
    <row r="53" spans="3:5" ht="12.75">
      <c r="C53" s="655" t="s">
        <v>512</v>
      </c>
      <c r="E53" s="138">
        <f>E12+E16+E20+E24</f>
        <v>506724.05165464105</v>
      </c>
    </row>
    <row r="54" spans="3:5" ht="12.75">
      <c r="C54" s="655" t="s">
        <v>513</v>
      </c>
      <c r="E54" s="138">
        <f>E28+E32+E36</f>
        <v>96645.08180193024</v>
      </c>
    </row>
    <row r="55" spans="3:5" ht="12.75">
      <c r="C55" s="655" t="s">
        <v>514</v>
      </c>
      <c r="E55" s="138">
        <f>E53+E54</f>
        <v>603369.1334565713</v>
      </c>
    </row>
  </sheetData>
  <mergeCells count="1">
    <mergeCell ref="G7:K7"/>
  </mergeCells>
  <printOptions horizontalCentered="1"/>
  <pageMargins left="0.25" right="0.25" top="1.25" bottom="0.25" header="0.24" footer="0.5"/>
  <pageSetup fitToHeight="1" fitToWidth="1" horizontalDpi="600" verticalDpi="600" orientation="landscape" scale="83" r:id="rId1"/>
  <headerFooter alignWithMargins="0">
    <oddFooter>&amp;LGUD No. 9731&amp;RFinal Order</oddFooter>
  </headerFooter>
</worksheet>
</file>

<file path=xl/worksheets/sheet13.xml><?xml version="1.0" encoding="utf-8"?>
<worksheet xmlns="http://schemas.openxmlformats.org/spreadsheetml/2006/main" xmlns:r="http://schemas.openxmlformats.org/officeDocument/2006/relationships">
  <sheetPr codeName="Sheet13">
    <tabColor indexed="49"/>
    <pageSetUpPr fitToPage="1"/>
  </sheetPr>
  <dimension ref="A1:R104"/>
  <sheetViews>
    <sheetView zoomScale="75" zoomScaleNormal="75" workbookViewId="0" topLeftCell="A1">
      <pane xSplit="3" ySplit="10" topLeftCell="D11" activePane="bottomRight" state="frozen"/>
      <selection pane="topLeft" activeCell="K7" sqref="K7"/>
      <selection pane="topRight" activeCell="K7" sqref="K7"/>
      <selection pane="bottomLeft" activeCell="K7" sqref="K7"/>
      <selection pane="bottomRight" activeCell="O4" sqref="O4"/>
    </sheetView>
  </sheetViews>
  <sheetFormatPr defaultColWidth="9.140625" defaultRowHeight="12.75"/>
  <cols>
    <col min="1" max="1" width="5.7109375" style="0" customWidth="1"/>
    <col min="2" max="2" width="1.7109375" style="0" customWidth="1"/>
    <col min="3" max="3" width="22.28125" style="0" customWidth="1"/>
    <col min="4" max="4" width="1.421875" style="0" customWidth="1"/>
    <col min="5" max="5" width="6.00390625" style="0" bestFit="1" customWidth="1"/>
    <col min="6" max="6" width="1.1484375" style="0" customWidth="1"/>
    <col min="7" max="7" width="10.7109375" style="0" customWidth="1"/>
    <col min="8" max="8" width="1.1484375" style="0" customWidth="1"/>
    <col min="9" max="9" width="5.00390625" style="0" bestFit="1" customWidth="1"/>
    <col min="10" max="10" width="1.7109375" style="0" customWidth="1"/>
    <col min="11" max="11" width="14.00390625" style="0" bestFit="1" customWidth="1"/>
    <col min="12" max="12" width="3.140625" style="0" bestFit="1" customWidth="1"/>
    <col min="13" max="13" width="12.57421875" style="0" bestFit="1" customWidth="1"/>
    <col min="14" max="14" width="2.140625" style="0" customWidth="1"/>
    <col min="15" max="15" width="11.421875" style="0" customWidth="1"/>
    <col min="16" max="16" width="1.8515625" style="0" customWidth="1"/>
    <col min="17" max="17" width="10.00390625" style="0" bestFit="1" customWidth="1"/>
  </cols>
  <sheetData>
    <row r="1" spans="1:18" ht="12.75">
      <c r="A1" s="2"/>
      <c r="B1" s="2"/>
      <c r="C1" s="2"/>
      <c r="D1" s="2"/>
      <c r="E1" s="2"/>
      <c r="F1" s="2"/>
      <c r="G1" s="2"/>
      <c r="H1" s="2"/>
      <c r="I1" s="174"/>
      <c r="J1" s="174"/>
      <c r="K1" s="174"/>
      <c r="L1" s="174"/>
      <c r="M1" s="174"/>
      <c r="N1" s="174"/>
      <c r="O1" s="174"/>
      <c r="P1" s="177"/>
      <c r="Q1" s="177"/>
      <c r="R1" s="177"/>
    </row>
    <row r="2" spans="1:18" ht="15.75">
      <c r="A2" s="2"/>
      <c r="B2" s="2"/>
      <c r="C2" s="2"/>
      <c r="D2" s="2"/>
      <c r="E2" s="2"/>
      <c r="F2" s="2"/>
      <c r="G2" s="2"/>
      <c r="H2" s="2"/>
      <c r="I2" s="174"/>
      <c r="J2" s="174"/>
      <c r="K2" s="174"/>
      <c r="L2" s="643"/>
      <c r="M2" s="177"/>
      <c r="N2" s="174"/>
      <c r="O2" s="177"/>
      <c r="P2" s="177"/>
      <c r="Q2" s="643" t="s">
        <v>725</v>
      </c>
      <c r="R2" s="177"/>
    </row>
    <row r="3" spans="1:18" ht="12.75">
      <c r="A3" s="80" t="str">
        <f>'Schedule A'!$A$3</f>
        <v>HUGHES NATURAL GAS </v>
      </c>
      <c r="B3" s="34"/>
      <c r="C3" s="34"/>
      <c r="D3" s="34"/>
      <c r="E3" s="34"/>
      <c r="F3" s="34"/>
      <c r="G3" s="34"/>
      <c r="H3" s="34"/>
      <c r="I3" s="644"/>
      <c r="J3" s="644"/>
      <c r="K3" s="644"/>
      <c r="L3" s="644"/>
      <c r="M3" s="644"/>
      <c r="N3" s="196"/>
      <c r="O3" s="196"/>
      <c r="P3" s="177"/>
      <c r="Q3" s="177"/>
      <c r="R3" s="177"/>
    </row>
    <row r="4" spans="1:18" ht="12.75">
      <c r="A4" s="80" t="str">
        <f>'Schedule A'!$A$4</f>
        <v>TEST YEAR ENDING DECEMBER 31, 2006</v>
      </c>
      <c r="B4" s="34"/>
      <c r="C4" s="34"/>
      <c r="D4" s="34"/>
      <c r="E4" s="34"/>
      <c r="F4" s="34"/>
      <c r="G4" s="34"/>
      <c r="H4" s="34"/>
      <c r="I4" s="644"/>
      <c r="J4" s="644"/>
      <c r="K4" s="644"/>
      <c r="L4" s="644"/>
      <c r="M4" s="644"/>
      <c r="N4" s="196"/>
      <c r="O4" s="196"/>
      <c r="P4" s="177"/>
      <c r="Q4" s="177"/>
      <c r="R4" s="177"/>
    </row>
    <row r="5" spans="1:18" ht="12.75">
      <c r="A5" s="2"/>
      <c r="B5" s="2"/>
      <c r="C5" s="122"/>
      <c r="D5" s="122"/>
      <c r="E5" s="122"/>
      <c r="F5" s="122"/>
      <c r="G5" s="122"/>
      <c r="H5" s="122"/>
      <c r="I5" s="195"/>
      <c r="J5" s="195"/>
      <c r="K5" s="195"/>
      <c r="L5" s="195"/>
      <c r="M5" s="195"/>
      <c r="N5" s="195"/>
      <c r="O5" s="174"/>
      <c r="P5" s="177"/>
      <c r="Q5" s="177"/>
      <c r="R5" s="177"/>
    </row>
    <row r="6" spans="1:18" ht="12.75">
      <c r="A6" s="130" t="s">
        <v>519</v>
      </c>
      <c r="B6" s="33"/>
      <c r="C6" s="33"/>
      <c r="D6" s="33"/>
      <c r="E6" s="33"/>
      <c r="F6" s="33"/>
      <c r="G6" s="33"/>
      <c r="H6" s="33"/>
      <c r="I6" s="645"/>
      <c r="J6" s="645"/>
      <c r="K6" s="645"/>
      <c r="L6" s="645"/>
      <c r="M6" s="645"/>
      <c r="N6" s="195"/>
      <c r="O6" s="174"/>
      <c r="P6" s="177"/>
      <c r="Q6" s="177"/>
      <c r="R6" s="177"/>
    </row>
    <row r="7" spans="1:18" ht="13.5" thickBot="1">
      <c r="A7" s="2"/>
      <c r="B7" s="2"/>
      <c r="C7" s="122"/>
      <c r="D7" s="122"/>
      <c r="E7" s="122"/>
      <c r="F7" s="122"/>
      <c r="G7" s="122"/>
      <c r="H7" s="122"/>
      <c r="I7" s="195"/>
      <c r="J7" s="195"/>
      <c r="K7" s="195"/>
      <c r="L7" s="195"/>
      <c r="M7" s="195"/>
      <c r="N7" s="195"/>
      <c r="O7" s="174"/>
      <c r="P7" s="177"/>
      <c r="Q7" s="177"/>
      <c r="R7" s="177"/>
    </row>
    <row r="8" spans="1:18" ht="12.75">
      <c r="A8" s="119" t="s">
        <v>486</v>
      </c>
      <c r="B8" s="2"/>
      <c r="C8" s="92"/>
      <c r="D8" s="6"/>
      <c r="E8" s="670"/>
      <c r="F8" s="122"/>
      <c r="G8" s="145"/>
      <c r="H8" s="668"/>
      <c r="I8" s="670"/>
      <c r="J8" s="178"/>
      <c r="K8" s="646" t="s">
        <v>4</v>
      </c>
      <c r="L8" s="178"/>
      <c r="M8" s="646" t="s">
        <v>447</v>
      </c>
      <c r="N8" s="195"/>
      <c r="O8" s="646" t="s">
        <v>7</v>
      </c>
      <c r="P8" s="177"/>
      <c r="Q8" s="646"/>
      <c r="R8" s="177"/>
    </row>
    <row r="9" spans="1:18" ht="13.5" thickBot="1">
      <c r="A9" s="97" t="s">
        <v>552</v>
      </c>
      <c r="B9" s="67"/>
      <c r="C9" s="90" t="s">
        <v>553</v>
      </c>
      <c r="D9" s="77"/>
      <c r="E9" s="671" t="s">
        <v>552</v>
      </c>
      <c r="F9" s="614"/>
      <c r="G9" s="142" t="s">
        <v>1</v>
      </c>
      <c r="H9" s="668"/>
      <c r="I9" s="671" t="s">
        <v>552</v>
      </c>
      <c r="J9" s="647"/>
      <c r="K9" s="648" t="s">
        <v>3</v>
      </c>
      <c r="L9" s="178"/>
      <c r="M9" s="648" t="s">
        <v>490</v>
      </c>
      <c r="N9" s="195"/>
      <c r="O9" s="648" t="s">
        <v>2</v>
      </c>
      <c r="P9" s="177"/>
      <c r="Q9" s="648" t="s">
        <v>490</v>
      </c>
      <c r="R9" s="177"/>
    </row>
    <row r="10" spans="1:18" ht="12.75">
      <c r="A10" s="2"/>
      <c r="B10" s="2"/>
      <c r="C10" s="66" t="s">
        <v>404</v>
      </c>
      <c r="D10" s="66"/>
      <c r="E10" s="64" t="s">
        <v>405</v>
      </c>
      <c r="F10" s="67"/>
      <c r="G10" s="192" t="s">
        <v>551</v>
      </c>
      <c r="H10" s="64"/>
      <c r="I10" s="192" t="s">
        <v>406</v>
      </c>
      <c r="J10" s="192"/>
      <c r="K10" s="192" t="s">
        <v>550</v>
      </c>
      <c r="L10" s="177"/>
      <c r="M10" s="192" t="s">
        <v>555</v>
      </c>
      <c r="N10" s="195"/>
      <c r="O10" s="192" t="s">
        <v>481</v>
      </c>
      <c r="Q10" s="192" t="s">
        <v>81</v>
      </c>
      <c r="R10" s="177"/>
    </row>
    <row r="11" spans="1:18" ht="12.75">
      <c r="A11" s="174"/>
      <c r="B11" s="174"/>
      <c r="C11" s="190"/>
      <c r="D11" s="190"/>
      <c r="E11" s="191"/>
      <c r="F11" s="191"/>
      <c r="G11" s="192"/>
      <c r="H11" s="192"/>
      <c r="I11" s="192"/>
      <c r="J11" s="192"/>
      <c r="K11" s="192"/>
      <c r="L11" s="174"/>
      <c r="M11" s="193"/>
      <c r="N11" s="195"/>
      <c r="O11" s="174"/>
      <c r="P11" s="177"/>
      <c r="Q11" s="177"/>
      <c r="R11" s="177"/>
    </row>
    <row r="12" spans="1:18" ht="13.5">
      <c r="A12" s="174"/>
      <c r="B12" s="174"/>
      <c r="C12" s="194" t="s">
        <v>503</v>
      </c>
      <c r="D12" s="194"/>
      <c r="E12" s="195"/>
      <c r="F12" s="195"/>
      <c r="G12" s="195"/>
      <c r="H12" s="195"/>
      <c r="I12" s="195"/>
      <c r="J12" s="195"/>
      <c r="K12" s="195"/>
      <c r="L12" s="195"/>
      <c r="M12" s="195"/>
      <c r="N12" s="195"/>
      <c r="O12" s="174"/>
      <c r="P12" s="177"/>
      <c r="Q12" s="177"/>
      <c r="R12" s="177"/>
    </row>
    <row r="13" spans="1:18" ht="12.75">
      <c r="A13" s="196">
        <v>1</v>
      </c>
      <c r="B13" s="174"/>
      <c r="C13" s="195" t="s">
        <v>506</v>
      </c>
      <c r="D13" s="195"/>
      <c r="E13" s="195"/>
      <c r="F13" s="195"/>
      <c r="G13" s="195">
        <f>+'Schedule D'!I20</f>
        <v>322.94</v>
      </c>
      <c r="H13" s="195"/>
      <c r="I13" s="195"/>
      <c r="J13" s="195"/>
      <c r="K13" s="195">
        <v>-323</v>
      </c>
      <c r="L13" s="197" t="s">
        <v>489</v>
      </c>
      <c r="M13" s="195">
        <f>+K13+G13</f>
        <v>-0.060000000000002274</v>
      </c>
      <c r="N13" s="195"/>
      <c r="O13" s="195">
        <v>0</v>
      </c>
      <c r="P13" s="177"/>
      <c r="Q13" s="195">
        <v>0</v>
      </c>
      <c r="R13" s="177"/>
    </row>
    <row r="14" spans="1:18" ht="12.75">
      <c r="A14" s="196"/>
      <c r="B14" s="174"/>
      <c r="C14" s="195"/>
      <c r="D14" s="195"/>
      <c r="E14" s="195"/>
      <c r="F14" s="195"/>
      <c r="G14" s="195"/>
      <c r="H14" s="195"/>
      <c r="I14" s="195"/>
      <c r="J14" s="195"/>
      <c r="K14" s="195"/>
      <c r="L14" s="198"/>
      <c r="M14" s="195"/>
      <c r="N14" s="195"/>
      <c r="O14" s="174"/>
      <c r="P14" s="177"/>
      <c r="Q14" s="177"/>
      <c r="R14" s="177"/>
    </row>
    <row r="15" spans="1:18" ht="12.75">
      <c r="A15" s="196">
        <v>2</v>
      </c>
      <c r="B15" s="174"/>
      <c r="C15" s="195" t="s">
        <v>507</v>
      </c>
      <c r="D15" s="195"/>
      <c r="E15" s="195"/>
      <c r="F15" s="195"/>
      <c r="G15" s="195">
        <f>G16+G17+G18+G19</f>
        <v>10910</v>
      </c>
      <c r="H15" s="195"/>
      <c r="I15" s="195"/>
      <c r="J15" s="195"/>
      <c r="K15" s="195">
        <f>K16+K17+K18+K19</f>
        <v>1755</v>
      </c>
      <c r="L15" s="198"/>
      <c r="M15" s="195">
        <f>+K15+G15</f>
        <v>12665</v>
      </c>
      <c r="N15" s="195"/>
      <c r="O15" s="195">
        <f>O16+O17+O18+O19</f>
        <v>5470</v>
      </c>
      <c r="P15" s="174"/>
      <c r="Q15" s="171">
        <f>M15+O15</f>
        <v>18135</v>
      </c>
      <c r="R15" s="177" t="s">
        <v>5</v>
      </c>
    </row>
    <row r="16" spans="1:18" ht="12.75">
      <c r="A16" s="196"/>
      <c r="B16" s="174"/>
      <c r="C16" s="612" t="s">
        <v>0</v>
      </c>
      <c r="D16" s="612"/>
      <c r="E16" s="613">
        <v>6</v>
      </c>
      <c r="F16" s="613"/>
      <c r="G16" s="195">
        <f>45*E16</f>
        <v>270</v>
      </c>
      <c r="H16" s="195"/>
      <c r="I16" s="613">
        <v>6</v>
      </c>
      <c r="J16" s="613"/>
      <c r="K16" s="195">
        <f>I16*45</f>
        <v>270</v>
      </c>
      <c r="L16" s="198"/>
      <c r="M16" s="195">
        <f>+K16+G16</f>
        <v>540</v>
      </c>
      <c r="N16" s="195"/>
      <c r="O16" s="171">
        <f>0*E16</f>
        <v>0</v>
      </c>
      <c r="P16" s="174"/>
      <c r="Q16" s="171">
        <f>M16+O16</f>
        <v>540</v>
      </c>
      <c r="R16" s="177"/>
    </row>
    <row r="17" spans="1:18" ht="12.75">
      <c r="A17" s="196"/>
      <c r="B17" s="174"/>
      <c r="C17" s="612" t="s">
        <v>640</v>
      </c>
      <c r="D17" s="612"/>
      <c r="E17" s="613">
        <f>57+30</f>
        <v>87</v>
      </c>
      <c r="F17" s="613"/>
      <c r="G17" s="195">
        <f>45*E17</f>
        <v>3915</v>
      </c>
      <c r="H17" s="195"/>
      <c r="I17" s="613">
        <f>3+30</f>
        <v>33</v>
      </c>
      <c r="J17" s="613"/>
      <c r="K17" s="195">
        <f>I17*45</f>
        <v>1485</v>
      </c>
      <c r="L17" s="198"/>
      <c r="M17" s="195">
        <f>+K17+G17</f>
        <v>5400</v>
      </c>
      <c r="N17" s="195"/>
      <c r="O17" s="171">
        <f>0*E17</f>
        <v>0</v>
      </c>
      <c r="P17" s="174"/>
      <c r="Q17" s="171">
        <f>M17+O17</f>
        <v>5400</v>
      </c>
      <c r="R17" s="177"/>
    </row>
    <row r="18" spans="1:18" ht="12.75">
      <c r="A18" s="196"/>
      <c r="B18" s="174"/>
      <c r="C18" s="612" t="s">
        <v>119</v>
      </c>
      <c r="D18" s="612"/>
      <c r="E18" s="613">
        <f>185+84</f>
        <v>269</v>
      </c>
      <c r="F18" s="613"/>
      <c r="G18" s="195">
        <f>25*E18</f>
        <v>6725</v>
      </c>
      <c r="H18" s="195"/>
      <c r="I18" s="613">
        <v>0</v>
      </c>
      <c r="J18" s="613"/>
      <c r="K18" s="195">
        <v>0</v>
      </c>
      <c r="L18" s="198"/>
      <c r="M18" s="195">
        <f>+K18+G18</f>
        <v>6725</v>
      </c>
      <c r="N18" s="195"/>
      <c r="O18" s="171">
        <f>20*E18</f>
        <v>5380</v>
      </c>
      <c r="P18" s="174"/>
      <c r="Q18" s="171">
        <f>M18+O18</f>
        <v>12105</v>
      </c>
      <c r="R18" s="177"/>
    </row>
    <row r="19" spans="1:18" ht="12.75">
      <c r="A19" s="196"/>
      <c r="B19" s="174"/>
      <c r="C19" s="612" t="s">
        <v>120</v>
      </c>
      <c r="D19" s="612"/>
      <c r="E19" s="613">
        <v>1</v>
      </c>
      <c r="F19" s="613"/>
      <c r="G19" s="195">
        <f>0*E19</f>
        <v>0</v>
      </c>
      <c r="H19" s="195"/>
      <c r="I19" s="613">
        <v>1</v>
      </c>
      <c r="J19" s="613"/>
      <c r="K19" s="195">
        <f>I19*0</f>
        <v>0</v>
      </c>
      <c r="L19" s="198"/>
      <c r="M19" s="195">
        <f>+K19+G19</f>
        <v>0</v>
      </c>
      <c r="N19" s="195"/>
      <c r="O19" s="171">
        <f>45*(E19+I19)</f>
        <v>90</v>
      </c>
      <c r="P19" s="174"/>
      <c r="Q19" s="171">
        <f>M19+O19</f>
        <v>90</v>
      </c>
      <c r="R19" s="177"/>
    </row>
    <row r="20" spans="1:18" ht="12.75">
      <c r="A20" s="196"/>
      <c r="B20" s="174"/>
      <c r="C20" s="612"/>
      <c r="D20" s="612"/>
      <c r="E20" s="613"/>
      <c r="F20" s="613"/>
      <c r="G20" s="195"/>
      <c r="H20" s="195"/>
      <c r="I20" s="613"/>
      <c r="J20" s="613"/>
      <c r="K20" s="195"/>
      <c r="L20" s="198"/>
      <c r="M20" s="195"/>
      <c r="N20" s="195"/>
      <c r="O20" s="174"/>
      <c r="P20" s="174"/>
      <c r="Q20" s="174"/>
      <c r="R20" s="177"/>
    </row>
    <row r="21" spans="1:18" ht="12.75">
      <c r="A21" s="196">
        <v>3</v>
      </c>
      <c r="B21" s="174"/>
      <c r="C21" s="195" t="s">
        <v>508</v>
      </c>
      <c r="D21" s="195"/>
      <c r="E21" s="613"/>
      <c r="F21" s="613"/>
      <c r="G21" s="195">
        <f>SUM(G22:G25)</f>
        <v>2745</v>
      </c>
      <c r="H21" s="195"/>
      <c r="I21" s="613"/>
      <c r="J21" s="613"/>
      <c r="K21" s="195">
        <f>SUM(K22:K25)</f>
        <v>1125</v>
      </c>
      <c r="L21" s="197"/>
      <c r="M21" s="195">
        <f>SUM(M22:M25)</f>
        <v>3870</v>
      </c>
      <c r="N21" s="195"/>
      <c r="O21" s="195">
        <f>SUM(O22:O25)</f>
        <v>810</v>
      </c>
      <c r="P21" s="174"/>
      <c r="Q21" s="195">
        <f>SUM(Q22:Q25)</f>
        <v>4680</v>
      </c>
      <c r="R21" s="177" t="s">
        <v>6</v>
      </c>
    </row>
    <row r="22" spans="1:18" ht="12.75">
      <c r="A22" s="196"/>
      <c r="B22" s="174"/>
      <c r="C22" s="612" t="s">
        <v>0</v>
      </c>
      <c r="D22" s="612"/>
      <c r="E22" s="613">
        <v>6</v>
      </c>
      <c r="F22" s="613"/>
      <c r="G22" s="195">
        <f>45*E22</f>
        <v>270</v>
      </c>
      <c r="H22" s="195"/>
      <c r="I22" s="613">
        <v>6</v>
      </c>
      <c r="J22" s="613"/>
      <c r="K22" s="195">
        <f>I22*45</f>
        <v>270</v>
      </c>
      <c r="L22" s="197"/>
      <c r="M22" s="195">
        <f>+K22+G22</f>
        <v>540</v>
      </c>
      <c r="N22" s="195"/>
      <c r="O22" s="174">
        <v>0</v>
      </c>
      <c r="P22" s="174"/>
      <c r="Q22" s="171">
        <f>M22+O22</f>
        <v>540</v>
      </c>
      <c r="R22" s="177"/>
    </row>
    <row r="23" spans="1:18" ht="12.75">
      <c r="A23" s="196"/>
      <c r="B23" s="174"/>
      <c r="C23" s="612" t="s">
        <v>640</v>
      </c>
      <c r="D23" s="612"/>
      <c r="E23" s="613">
        <v>18</v>
      </c>
      <c r="F23" s="613"/>
      <c r="G23" s="195">
        <f>45*E23</f>
        <v>810</v>
      </c>
      <c r="H23" s="195"/>
      <c r="I23" s="613">
        <v>18</v>
      </c>
      <c r="J23" s="613"/>
      <c r="K23" s="195">
        <f>I23*45</f>
        <v>810</v>
      </c>
      <c r="L23" s="197"/>
      <c r="M23" s="195">
        <f>+K23+G23</f>
        <v>1620</v>
      </c>
      <c r="N23" s="195"/>
      <c r="O23" s="174">
        <v>0</v>
      </c>
      <c r="P23" s="174"/>
      <c r="Q23" s="171">
        <f>M23+O23</f>
        <v>1620</v>
      </c>
      <c r="R23" s="177"/>
    </row>
    <row r="24" spans="1:18" ht="12.75">
      <c r="A24" s="196"/>
      <c r="B24" s="174"/>
      <c r="C24" s="612" t="s">
        <v>119</v>
      </c>
      <c r="D24" s="612"/>
      <c r="E24" s="613">
        <v>36</v>
      </c>
      <c r="F24" s="613"/>
      <c r="G24" s="195">
        <f>45*E24</f>
        <v>1620</v>
      </c>
      <c r="H24" s="195"/>
      <c r="I24" s="613">
        <v>0</v>
      </c>
      <c r="J24" s="613"/>
      <c r="K24" s="195">
        <f>I24*45</f>
        <v>0</v>
      </c>
      <c r="L24" s="197"/>
      <c r="M24" s="195">
        <f>+K24+G24</f>
        <v>1620</v>
      </c>
      <c r="N24" s="195"/>
      <c r="O24" s="171">
        <f>20*E24</f>
        <v>720</v>
      </c>
      <c r="P24" s="174"/>
      <c r="Q24" s="171">
        <f>M24+O24</f>
        <v>2340</v>
      </c>
      <c r="R24" s="177"/>
    </row>
    <row r="25" spans="1:18" ht="12.75">
      <c r="A25" s="196"/>
      <c r="B25" s="174"/>
      <c r="C25" s="612" t="s">
        <v>120</v>
      </c>
      <c r="D25" s="612"/>
      <c r="E25" s="613">
        <v>1</v>
      </c>
      <c r="F25" s="613"/>
      <c r="G25" s="195">
        <f>45*E25</f>
        <v>45</v>
      </c>
      <c r="H25" s="195"/>
      <c r="I25" s="613">
        <v>1</v>
      </c>
      <c r="J25" s="613"/>
      <c r="K25" s="195">
        <f>I25*45</f>
        <v>45</v>
      </c>
      <c r="L25" s="197"/>
      <c r="M25" s="195">
        <f>+K25+G25</f>
        <v>90</v>
      </c>
      <c r="N25" s="195"/>
      <c r="O25" s="171">
        <f>45*(E25+I25)</f>
        <v>90</v>
      </c>
      <c r="P25" s="174"/>
      <c r="Q25" s="171">
        <f>M25+O25</f>
        <v>180</v>
      </c>
      <c r="R25" s="177"/>
    </row>
    <row r="26" spans="1:18" ht="12.75">
      <c r="A26" s="196"/>
      <c r="B26" s="174"/>
      <c r="C26" s="612"/>
      <c r="D26" s="612"/>
      <c r="E26" s="195"/>
      <c r="F26" s="195"/>
      <c r="G26" s="195"/>
      <c r="H26" s="195"/>
      <c r="I26" s="195"/>
      <c r="J26" s="195"/>
      <c r="K26" s="195"/>
      <c r="L26" s="198"/>
      <c r="M26" s="195"/>
      <c r="N26" s="195"/>
      <c r="O26" s="174"/>
      <c r="P26" s="174"/>
      <c r="Q26" s="174"/>
      <c r="R26" s="177"/>
    </row>
    <row r="27" spans="1:18" ht="12.75">
      <c r="A27" s="196">
        <v>4</v>
      </c>
      <c r="B27" s="174"/>
      <c r="C27" s="195" t="s">
        <v>509</v>
      </c>
      <c r="D27" s="195"/>
      <c r="E27" s="613"/>
      <c r="F27" s="613"/>
      <c r="G27" s="195">
        <f>SUM(G28:G31)</f>
        <v>360</v>
      </c>
      <c r="H27" s="195"/>
      <c r="I27" s="613"/>
      <c r="J27" s="613"/>
      <c r="K27" s="195">
        <f>SUM(K28:K31)</f>
        <v>210</v>
      </c>
      <c r="L27" s="197"/>
      <c r="M27" s="195">
        <f>SUM(M28:M31)</f>
        <v>570</v>
      </c>
      <c r="N27" s="195"/>
      <c r="O27" s="195">
        <f>SUM(O28:O31)</f>
        <v>60</v>
      </c>
      <c r="P27" s="174"/>
      <c r="Q27" s="195">
        <f>SUM(Q28:Q31)</f>
        <v>630</v>
      </c>
      <c r="R27" s="177"/>
    </row>
    <row r="28" spans="1:18" ht="12.75">
      <c r="A28" s="196"/>
      <c r="B28" s="174"/>
      <c r="C28" s="612" t="s">
        <v>0</v>
      </c>
      <c r="D28" s="612"/>
      <c r="E28" s="613">
        <v>2</v>
      </c>
      <c r="F28" s="613"/>
      <c r="G28" s="195">
        <f>E28*35</f>
        <v>70</v>
      </c>
      <c r="H28" s="195"/>
      <c r="I28" s="613">
        <v>2</v>
      </c>
      <c r="J28" s="613"/>
      <c r="K28" s="195">
        <f>I28*35</f>
        <v>70</v>
      </c>
      <c r="L28" s="197"/>
      <c r="M28" s="195">
        <f>G28+K28</f>
        <v>140</v>
      </c>
      <c r="N28" s="195"/>
      <c r="O28" s="195">
        <v>0</v>
      </c>
      <c r="P28" s="174"/>
      <c r="Q28" s="171">
        <f>M28+O28</f>
        <v>140</v>
      </c>
      <c r="R28" s="177"/>
    </row>
    <row r="29" spans="1:18" ht="12.75">
      <c r="A29" s="196"/>
      <c r="B29" s="174"/>
      <c r="C29" s="612" t="s">
        <v>640</v>
      </c>
      <c r="D29" s="612"/>
      <c r="E29" s="613">
        <v>4</v>
      </c>
      <c r="F29" s="613"/>
      <c r="G29" s="195">
        <f>E29*35</f>
        <v>140</v>
      </c>
      <c r="H29" s="195"/>
      <c r="I29" s="613">
        <v>4</v>
      </c>
      <c r="J29" s="613"/>
      <c r="K29" s="195">
        <f>I29*35</f>
        <v>140</v>
      </c>
      <c r="L29" s="197"/>
      <c r="M29" s="195">
        <f>G29+K29</f>
        <v>280</v>
      </c>
      <c r="N29" s="195"/>
      <c r="O29" s="195">
        <v>0</v>
      </c>
      <c r="P29" s="174"/>
      <c r="Q29" s="171">
        <f>M29+O29</f>
        <v>280</v>
      </c>
      <c r="R29" s="177"/>
    </row>
    <row r="30" spans="1:18" ht="12.75">
      <c r="A30" s="196"/>
      <c r="B30" s="174"/>
      <c r="C30" s="612" t="s">
        <v>119</v>
      </c>
      <c r="D30" s="612"/>
      <c r="E30" s="613">
        <v>6</v>
      </c>
      <c r="F30" s="613"/>
      <c r="G30" s="195">
        <f>25*E30</f>
        <v>150</v>
      </c>
      <c r="H30" s="195"/>
      <c r="I30" s="613">
        <v>0</v>
      </c>
      <c r="J30" s="613"/>
      <c r="K30" s="195">
        <f>I30*30</f>
        <v>0</v>
      </c>
      <c r="L30" s="197"/>
      <c r="M30" s="195">
        <f>G30+K30</f>
        <v>150</v>
      </c>
      <c r="N30" s="195"/>
      <c r="O30" s="195">
        <f>10*(E30+I30)</f>
        <v>60</v>
      </c>
      <c r="P30" s="174"/>
      <c r="Q30" s="171">
        <f>M30+O30</f>
        <v>210</v>
      </c>
      <c r="R30" s="177"/>
    </row>
    <row r="31" spans="1:18" ht="12.75">
      <c r="A31" s="196"/>
      <c r="B31" s="174"/>
      <c r="C31" s="612" t="s">
        <v>120</v>
      </c>
      <c r="D31" s="612"/>
      <c r="E31" s="613">
        <v>0</v>
      </c>
      <c r="F31" s="613"/>
      <c r="G31" s="195">
        <f>10*E31</f>
        <v>0</v>
      </c>
      <c r="H31" s="195"/>
      <c r="I31" s="613">
        <v>0</v>
      </c>
      <c r="J31" s="613"/>
      <c r="K31" s="195">
        <f>I31*10</f>
        <v>0</v>
      </c>
      <c r="L31" s="197"/>
      <c r="M31" s="195">
        <f>G31+K31</f>
        <v>0</v>
      </c>
      <c r="N31" s="195"/>
      <c r="O31" s="195">
        <f>(E31+I31)*25</f>
        <v>0</v>
      </c>
      <c r="P31" s="174"/>
      <c r="Q31" s="171">
        <f>M31+O31</f>
        <v>0</v>
      </c>
      <c r="R31" s="177"/>
    </row>
    <row r="32" spans="1:18" ht="12.75">
      <c r="A32" s="196"/>
      <c r="B32" s="174"/>
      <c r="C32" s="612"/>
      <c r="D32" s="612"/>
      <c r="E32" s="195"/>
      <c r="F32" s="195"/>
      <c r="G32" s="195"/>
      <c r="H32" s="195"/>
      <c r="I32" s="195"/>
      <c r="J32" s="195"/>
      <c r="K32" s="195"/>
      <c r="L32" s="195"/>
      <c r="M32" s="195"/>
      <c r="N32" s="195"/>
      <c r="O32" s="174"/>
      <c r="P32" s="174"/>
      <c r="Q32" s="174"/>
      <c r="R32" s="177"/>
    </row>
    <row r="33" spans="1:18" ht="13.5" thickBot="1">
      <c r="A33" s="196">
        <v>5</v>
      </c>
      <c r="B33" s="174"/>
      <c r="C33" s="195" t="s">
        <v>446</v>
      </c>
      <c r="D33" s="195"/>
      <c r="E33" s="195"/>
      <c r="F33" s="195"/>
      <c r="G33" s="199">
        <f>+'Schedule D'!I24</f>
        <v>0</v>
      </c>
      <c r="H33" s="178"/>
      <c r="I33" s="195"/>
      <c r="J33" s="195"/>
      <c r="K33" s="199">
        <v>0</v>
      </c>
      <c r="L33" s="195"/>
      <c r="M33" s="199">
        <f>+K33+G33</f>
        <v>0</v>
      </c>
      <c r="N33" s="195"/>
      <c r="O33" s="199">
        <f>+M33+K33</f>
        <v>0</v>
      </c>
      <c r="P33" s="174"/>
      <c r="Q33" s="199">
        <f>+O33+M33</f>
        <v>0</v>
      </c>
      <c r="R33" s="177"/>
    </row>
    <row r="34" spans="1:18" ht="12.75">
      <c r="A34" s="196"/>
      <c r="B34" s="174"/>
      <c r="C34" s="195"/>
      <c r="D34" s="195"/>
      <c r="E34" s="195"/>
      <c r="F34" s="195"/>
      <c r="G34" s="195"/>
      <c r="H34" s="195"/>
      <c r="I34" s="195"/>
      <c r="J34" s="195"/>
      <c r="K34" s="195"/>
      <c r="L34" s="195"/>
      <c r="M34" s="195"/>
      <c r="N34" s="195"/>
      <c r="O34" s="174"/>
      <c r="P34" s="177"/>
      <c r="Q34" s="177"/>
      <c r="R34" s="177"/>
    </row>
    <row r="35" spans="1:18" ht="13.5" thickBot="1">
      <c r="A35" s="196">
        <v>6</v>
      </c>
      <c r="B35" s="174"/>
      <c r="C35" s="198" t="s">
        <v>510</v>
      </c>
      <c r="D35" s="198"/>
      <c r="E35" s="195"/>
      <c r="F35" s="195"/>
      <c r="G35" s="200">
        <f>G33+G27+G21+G15+G13</f>
        <v>14337.94</v>
      </c>
      <c r="H35" s="669"/>
      <c r="I35" s="198"/>
      <c r="J35" s="198"/>
      <c r="K35" s="200">
        <f>K33+K27+K21+K15+K13</f>
        <v>2767</v>
      </c>
      <c r="L35" s="198"/>
      <c r="M35" s="200">
        <f>M33+M27+M21+M15+M13</f>
        <v>17104.94</v>
      </c>
      <c r="N35" s="195"/>
      <c r="O35" s="200">
        <f>O33+O27+O21+O15+O13</f>
        <v>6340</v>
      </c>
      <c r="P35" s="177"/>
      <c r="Q35" s="200">
        <f>Q33+Q27+Q21+Q15+Q13</f>
        <v>23445</v>
      </c>
      <c r="R35" s="177"/>
    </row>
    <row r="36" spans="1:18" ht="13.5" thickTop="1">
      <c r="A36" s="196"/>
      <c r="B36" s="174"/>
      <c r="C36" s="195"/>
      <c r="D36" s="195"/>
      <c r="E36" s="195"/>
      <c r="F36" s="195"/>
      <c r="G36" s="195"/>
      <c r="H36" s="195"/>
      <c r="I36" s="195"/>
      <c r="J36" s="195"/>
      <c r="K36" s="195"/>
      <c r="L36" s="195"/>
      <c r="M36" s="195"/>
      <c r="N36" s="195"/>
      <c r="O36" s="174"/>
      <c r="P36" s="177"/>
      <c r="Q36" s="177"/>
      <c r="R36" s="177"/>
    </row>
    <row r="37" spans="1:18" ht="12.75">
      <c r="A37" s="174"/>
      <c r="B37" s="174"/>
      <c r="C37" s="174"/>
      <c r="D37" s="174"/>
      <c r="E37" s="174"/>
      <c r="F37" s="174"/>
      <c r="G37" s="174"/>
      <c r="H37" s="174"/>
      <c r="I37" s="174"/>
      <c r="J37" s="174"/>
      <c r="K37" s="174"/>
      <c r="L37" s="174"/>
      <c r="M37" s="174"/>
      <c r="N37" s="174"/>
      <c r="O37" s="174"/>
      <c r="P37" s="177"/>
      <c r="Q37" s="177"/>
      <c r="R37" s="177"/>
    </row>
    <row r="38" spans="1:18" ht="13.5" thickBot="1">
      <c r="A38" s="201"/>
      <c r="B38" s="201"/>
      <c r="C38" s="201"/>
      <c r="D38" s="201"/>
      <c r="E38" s="201"/>
      <c r="F38" s="201"/>
      <c r="G38" s="201"/>
      <c r="H38" s="179"/>
      <c r="I38" s="174"/>
      <c r="J38" s="174"/>
      <c r="K38" s="174"/>
      <c r="L38" s="174"/>
      <c r="M38" s="174"/>
      <c r="N38" s="174"/>
      <c r="O38" s="174"/>
      <c r="P38" s="177"/>
      <c r="Q38" s="177"/>
      <c r="R38" s="177"/>
    </row>
    <row r="39" spans="1:18" ht="12.75">
      <c r="A39" s="174"/>
      <c r="B39" s="174"/>
      <c r="C39" s="174"/>
      <c r="D39" s="174"/>
      <c r="E39" s="174"/>
      <c r="F39" s="174"/>
      <c r="G39" s="174"/>
      <c r="H39" s="174"/>
      <c r="I39" s="174"/>
      <c r="J39" s="174"/>
      <c r="K39" s="174"/>
      <c r="L39" s="174"/>
      <c r="M39" s="174"/>
      <c r="N39" s="174"/>
      <c r="O39" s="174"/>
      <c r="P39" s="177"/>
      <c r="Q39" s="177"/>
      <c r="R39" s="177"/>
    </row>
    <row r="40" spans="1:18" ht="12.75">
      <c r="A40" s="183" t="s">
        <v>453</v>
      </c>
      <c r="B40" s="174"/>
      <c r="C40" s="174"/>
      <c r="D40" s="174"/>
      <c r="E40" s="174"/>
      <c r="F40" s="174"/>
      <c r="G40" s="174"/>
      <c r="H40" s="174"/>
      <c r="I40" s="174"/>
      <c r="J40" s="174"/>
      <c r="K40" s="174"/>
      <c r="L40" s="174"/>
      <c r="M40" s="174"/>
      <c r="N40" s="174"/>
      <c r="O40" s="174"/>
      <c r="P40" s="177"/>
      <c r="Q40" s="177"/>
      <c r="R40" s="177"/>
    </row>
    <row r="41" spans="1:18" ht="12.75">
      <c r="A41" s="186"/>
      <c r="B41" s="174"/>
      <c r="C41" s="174"/>
      <c r="D41" s="174"/>
      <c r="E41" s="174"/>
      <c r="F41" s="174"/>
      <c r="G41" s="174"/>
      <c r="H41" s="174"/>
      <c r="I41" s="174"/>
      <c r="J41" s="174"/>
      <c r="K41" s="174"/>
      <c r="L41" s="174"/>
      <c r="M41" s="174"/>
      <c r="N41" s="174"/>
      <c r="O41" s="174"/>
      <c r="P41" s="177"/>
      <c r="Q41" s="177"/>
      <c r="R41" s="177"/>
    </row>
    <row r="42" spans="1:18" ht="12.75">
      <c r="A42" s="1"/>
      <c r="B42" s="2"/>
      <c r="C42" s="2"/>
      <c r="D42" s="2"/>
      <c r="E42" s="2"/>
      <c r="F42" s="2"/>
      <c r="G42" s="2"/>
      <c r="H42" s="2"/>
      <c r="I42" s="174"/>
      <c r="J42" s="174"/>
      <c r="K42" s="174"/>
      <c r="L42" s="174"/>
      <c r="M42" s="174"/>
      <c r="N42" s="174"/>
      <c r="O42" s="174"/>
      <c r="P42" s="177"/>
      <c r="Q42" s="177"/>
      <c r="R42" s="177"/>
    </row>
    <row r="43" spans="1:18" ht="12.75">
      <c r="A43" s="2"/>
      <c r="B43" s="2"/>
      <c r="C43" s="2"/>
      <c r="D43" s="2"/>
      <c r="E43" s="2"/>
      <c r="F43" s="2"/>
      <c r="G43" s="2"/>
      <c r="H43" s="2"/>
      <c r="I43" s="174"/>
      <c r="J43" s="174"/>
      <c r="K43" s="174"/>
      <c r="L43" s="174"/>
      <c r="M43" s="174"/>
      <c r="N43" s="174"/>
      <c r="O43" s="174"/>
      <c r="P43" s="177"/>
      <c r="Q43" s="177"/>
      <c r="R43" s="177"/>
    </row>
    <row r="44" spans="9:18" ht="12.75">
      <c r="I44" s="177"/>
      <c r="J44" s="177"/>
      <c r="K44" s="177"/>
      <c r="L44" s="177"/>
      <c r="M44" s="177"/>
      <c r="N44" s="177"/>
      <c r="O44" s="177"/>
      <c r="P44" s="177"/>
      <c r="Q44" s="177"/>
      <c r="R44" s="177"/>
    </row>
    <row r="45" spans="9:18" ht="12.75">
      <c r="I45" s="177"/>
      <c r="J45" s="177"/>
      <c r="K45" s="177"/>
      <c r="L45" s="177"/>
      <c r="M45" s="177"/>
      <c r="N45" s="177"/>
      <c r="O45" s="177"/>
      <c r="P45" s="177"/>
      <c r="Q45" s="177"/>
      <c r="R45" s="177"/>
    </row>
    <row r="46" spans="9:18" ht="12.75">
      <c r="I46" s="177"/>
      <c r="J46" s="177"/>
      <c r="K46" s="177"/>
      <c r="L46" s="177"/>
      <c r="M46" s="177"/>
      <c r="N46" s="177"/>
      <c r="O46" s="177"/>
      <c r="P46" s="177"/>
      <c r="Q46" s="177"/>
      <c r="R46" s="177"/>
    </row>
    <row r="47" spans="9:18" ht="12.75">
      <c r="I47" s="177"/>
      <c r="J47" s="177"/>
      <c r="K47" s="177"/>
      <c r="L47" s="177"/>
      <c r="M47" s="177"/>
      <c r="N47" s="177"/>
      <c r="O47" s="177"/>
      <c r="P47" s="177"/>
      <c r="Q47" s="177"/>
      <c r="R47" s="177"/>
    </row>
    <row r="48" spans="9:18" ht="12.75">
      <c r="I48" s="177"/>
      <c r="J48" s="177"/>
      <c r="K48" s="177"/>
      <c r="L48" s="177"/>
      <c r="M48" s="177"/>
      <c r="N48" s="177"/>
      <c r="O48" s="177"/>
      <c r="P48" s="177"/>
      <c r="Q48" s="177"/>
      <c r="R48" s="177"/>
    </row>
    <row r="49" spans="9:18" ht="12.75">
      <c r="I49" s="177"/>
      <c r="J49" s="177"/>
      <c r="K49" s="177"/>
      <c r="L49" s="177"/>
      <c r="M49" s="177"/>
      <c r="N49" s="177"/>
      <c r="O49" s="177"/>
      <c r="P49" s="177"/>
      <c r="Q49" s="177"/>
      <c r="R49" s="177"/>
    </row>
    <row r="50" spans="9:18" ht="12.75">
      <c r="I50" s="177"/>
      <c r="J50" s="177"/>
      <c r="K50" s="177"/>
      <c r="L50" s="177"/>
      <c r="M50" s="177"/>
      <c r="N50" s="177"/>
      <c r="O50" s="177"/>
      <c r="P50" s="177"/>
      <c r="Q50" s="177"/>
      <c r="R50" s="177"/>
    </row>
    <row r="51" spans="9:18" ht="12.75">
      <c r="I51" s="177"/>
      <c r="J51" s="177"/>
      <c r="K51" s="177"/>
      <c r="L51" s="177"/>
      <c r="M51" s="177"/>
      <c r="N51" s="177"/>
      <c r="O51" s="177"/>
      <c r="P51" s="177"/>
      <c r="Q51" s="177"/>
      <c r="R51" s="177"/>
    </row>
    <row r="52" spans="9:18" ht="12.75">
      <c r="I52" s="177"/>
      <c r="J52" s="177"/>
      <c r="K52" s="177"/>
      <c r="L52" s="177"/>
      <c r="M52" s="177"/>
      <c r="N52" s="177"/>
      <c r="O52" s="177"/>
      <c r="P52" s="177"/>
      <c r="Q52" s="177"/>
      <c r="R52" s="177"/>
    </row>
    <row r="53" spans="9:18" ht="12.75">
      <c r="I53" s="177"/>
      <c r="J53" s="177"/>
      <c r="K53" s="177"/>
      <c r="L53" s="177"/>
      <c r="M53" s="177"/>
      <c r="N53" s="177"/>
      <c r="O53" s="177"/>
      <c r="P53" s="177"/>
      <c r="Q53" s="177"/>
      <c r="R53" s="177"/>
    </row>
    <row r="54" spans="9:18" ht="12.75">
      <c r="I54" s="177"/>
      <c r="J54" s="177"/>
      <c r="K54" s="177"/>
      <c r="L54" s="177"/>
      <c r="M54" s="177"/>
      <c r="N54" s="177"/>
      <c r="O54" s="177"/>
      <c r="P54" s="177"/>
      <c r="Q54" s="177"/>
      <c r="R54" s="177"/>
    </row>
    <row r="55" spans="9:18" ht="12.75">
      <c r="I55" s="177"/>
      <c r="J55" s="177"/>
      <c r="K55" s="177"/>
      <c r="L55" s="177"/>
      <c r="M55" s="177"/>
      <c r="N55" s="177"/>
      <c r="O55" s="177"/>
      <c r="P55" s="177"/>
      <c r="Q55" s="177"/>
      <c r="R55" s="177"/>
    </row>
    <row r="56" spans="9:18" ht="12.75">
      <c r="I56" s="177"/>
      <c r="J56" s="177"/>
      <c r="K56" s="177"/>
      <c r="L56" s="177"/>
      <c r="M56" s="177"/>
      <c r="N56" s="177"/>
      <c r="O56" s="177"/>
      <c r="P56" s="177"/>
      <c r="Q56" s="177"/>
      <c r="R56" s="177"/>
    </row>
    <row r="57" spans="9:18" ht="12.75">
      <c r="I57" s="177"/>
      <c r="J57" s="177"/>
      <c r="K57" s="177"/>
      <c r="L57" s="177"/>
      <c r="M57" s="177"/>
      <c r="N57" s="177"/>
      <c r="O57" s="177"/>
      <c r="P57" s="177"/>
      <c r="Q57" s="177"/>
      <c r="R57" s="177"/>
    </row>
    <row r="58" spans="9:18" ht="12.75">
      <c r="I58" s="177"/>
      <c r="J58" s="177"/>
      <c r="K58" s="177"/>
      <c r="L58" s="177"/>
      <c r="M58" s="177"/>
      <c r="N58" s="177"/>
      <c r="O58" s="177"/>
      <c r="P58" s="177"/>
      <c r="Q58" s="177"/>
      <c r="R58" s="177"/>
    </row>
    <row r="59" spans="9:18" ht="12.75">
      <c r="I59" s="177"/>
      <c r="J59" s="177"/>
      <c r="K59" s="177"/>
      <c r="L59" s="177"/>
      <c r="M59" s="177"/>
      <c r="N59" s="177"/>
      <c r="O59" s="177"/>
      <c r="P59" s="177"/>
      <c r="Q59" s="177"/>
      <c r="R59" s="177"/>
    </row>
    <row r="60" spans="9:18" ht="12.75">
      <c r="I60" s="177"/>
      <c r="J60" s="177"/>
      <c r="K60" s="177"/>
      <c r="L60" s="177"/>
      <c r="M60" s="177"/>
      <c r="N60" s="177"/>
      <c r="O60" s="177"/>
      <c r="P60" s="177"/>
      <c r="Q60" s="177"/>
      <c r="R60" s="177"/>
    </row>
    <row r="61" spans="9:18" ht="12.75">
      <c r="I61" s="177"/>
      <c r="J61" s="177"/>
      <c r="K61" s="177"/>
      <c r="L61" s="177"/>
      <c r="M61" s="177"/>
      <c r="N61" s="177"/>
      <c r="O61" s="177"/>
      <c r="P61" s="177"/>
      <c r="Q61" s="177"/>
      <c r="R61" s="177"/>
    </row>
    <row r="62" spans="9:18" ht="12.75">
      <c r="I62" s="177"/>
      <c r="J62" s="177"/>
      <c r="K62" s="177"/>
      <c r="L62" s="177"/>
      <c r="M62" s="177"/>
      <c r="N62" s="177"/>
      <c r="O62" s="177"/>
      <c r="P62" s="177"/>
      <c r="Q62" s="177"/>
      <c r="R62" s="177"/>
    </row>
    <row r="63" spans="9:18" ht="12.75">
      <c r="I63" s="177"/>
      <c r="J63" s="177"/>
      <c r="K63" s="177"/>
      <c r="L63" s="177"/>
      <c r="M63" s="177"/>
      <c r="N63" s="177"/>
      <c r="O63" s="177"/>
      <c r="P63" s="177"/>
      <c r="Q63" s="177"/>
      <c r="R63" s="177"/>
    </row>
    <row r="64" spans="9:18" ht="12.75">
      <c r="I64" s="177"/>
      <c r="J64" s="177"/>
      <c r="K64" s="177"/>
      <c r="L64" s="177"/>
      <c r="M64" s="177"/>
      <c r="N64" s="177"/>
      <c r="O64" s="177"/>
      <c r="P64" s="177"/>
      <c r="Q64" s="177"/>
      <c r="R64" s="177"/>
    </row>
    <row r="65" spans="9:18" ht="12.75">
      <c r="I65" s="177"/>
      <c r="J65" s="177"/>
      <c r="K65" s="177"/>
      <c r="L65" s="177"/>
      <c r="M65" s="177"/>
      <c r="N65" s="177"/>
      <c r="O65" s="177"/>
      <c r="P65" s="177"/>
      <c r="Q65" s="177"/>
      <c r="R65" s="177"/>
    </row>
    <row r="66" spans="9:18" ht="12.75">
      <c r="I66" s="177"/>
      <c r="J66" s="177"/>
      <c r="K66" s="177"/>
      <c r="L66" s="177"/>
      <c r="M66" s="177"/>
      <c r="N66" s="177"/>
      <c r="O66" s="177"/>
      <c r="P66" s="177"/>
      <c r="Q66" s="177"/>
      <c r="R66" s="177"/>
    </row>
    <row r="67" spans="9:18" ht="12.75">
      <c r="I67" s="177"/>
      <c r="J67" s="177"/>
      <c r="K67" s="177"/>
      <c r="L67" s="177"/>
      <c r="M67" s="177"/>
      <c r="N67" s="177"/>
      <c r="O67" s="177"/>
      <c r="P67" s="177"/>
      <c r="Q67" s="177"/>
      <c r="R67" s="177"/>
    </row>
    <row r="68" spans="9:18" ht="12.75">
      <c r="I68" s="177"/>
      <c r="J68" s="177"/>
      <c r="K68" s="177"/>
      <c r="L68" s="177"/>
      <c r="M68" s="177"/>
      <c r="N68" s="177"/>
      <c r="O68" s="177"/>
      <c r="P68" s="177"/>
      <c r="Q68" s="177"/>
      <c r="R68" s="177"/>
    </row>
    <row r="69" spans="9:18" ht="12.75">
      <c r="I69" s="177"/>
      <c r="J69" s="177"/>
      <c r="K69" s="177"/>
      <c r="L69" s="177"/>
      <c r="M69" s="177"/>
      <c r="N69" s="177"/>
      <c r="O69" s="177"/>
      <c r="P69" s="177"/>
      <c r="Q69" s="177"/>
      <c r="R69" s="177"/>
    </row>
    <row r="70" spans="9:18" ht="12.75">
      <c r="I70" s="177"/>
      <c r="J70" s="177"/>
      <c r="K70" s="177"/>
      <c r="L70" s="177"/>
      <c r="M70" s="177"/>
      <c r="N70" s="177"/>
      <c r="O70" s="177"/>
      <c r="P70" s="177"/>
      <c r="Q70" s="177"/>
      <c r="R70" s="177"/>
    </row>
    <row r="71" spans="9:18" ht="12.75">
      <c r="I71" s="177"/>
      <c r="J71" s="177"/>
      <c r="K71" s="177"/>
      <c r="L71" s="177"/>
      <c r="M71" s="177"/>
      <c r="N71" s="177"/>
      <c r="O71" s="177"/>
      <c r="P71" s="177"/>
      <c r="Q71" s="177"/>
      <c r="R71" s="177"/>
    </row>
    <row r="72" spans="9:18" ht="12.75">
      <c r="I72" s="177"/>
      <c r="J72" s="177"/>
      <c r="K72" s="177"/>
      <c r="L72" s="177"/>
      <c r="M72" s="177"/>
      <c r="N72" s="177"/>
      <c r="O72" s="177"/>
      <c r="P72" s="177"/>
      <c r="Q72" s="177"/>
      <c r="R72" s="177"/>
    </row>
    <row r="73" spans="9:18" ht="12.75">
      <c r="I73" s="177"/>
      <c r="J73" s="177"/>
      <c r="K73" s="177"/>
      <c r="L73" s="177"/>
      <c r="M73" s="177"/>
      <c r="N73" s="177"/>
      <c r="O73" s="177"/>
      <c r="P73" s="177"/>
      <c r="Q73" s="177"/>
      <c r="R73" s="177"/>
    </row>
    <row r="74" spans="9:18" ht="12.75">
      <c r="I74" s="177"/>
      <c r="J74" s="177"/>
      <c r="K74" s="177"/>
      <c r="L74" s="177"/>
      <c r="M74" s="177"/>
      <c r="N74" s="177"/>
      <c r="O74" s="177"/>
      <c r="P74" s="177"/>
      <c r="Q74" s="177"/>
      <c r="R74" s="177"/>
    </row>
    <row r="75" spans="9:18" ht="12.75">
      <c r="I75" s="177"/>
      <c r="J75" s="177"/>
      <c r="K75" s="177"/>
      <c r="L75" s="177"/>
      <c r="M75" s="177"/>
      <c r="N75" s="177"/>
      <c r="O75" s="177"/>
      <c r="P75" s="177"/>
      <c r="Q75" s="177"/>
      <c r="R75" s="177"/>
    </row>
    <row r="76" spans="9:18" ht="12.75">
      <c r="I76" s="177"/>
      <c r="J76" s="177"/>
      <c r="K76" s="177"/>
      <c r="L76" s="177"/>
      <c r="M76" s="177"/>
      <c r="N76" s="177"/>
      <c r="O76" s="177"/>
      <c r="P76" s="177"/>
      <c r="Q76" s="177"/>
      <c r="R76" s="177"/>
    </row>
    <row r="77" spans="9:18" ht="12.75">
      <c r="I77" s="177"/>
      <c r="J77" s="177"/>
      <c r="K77" s="177"/>
      <c r="L77" s="177"/>
      <c r="M77" s="177"/>
      <c r="N77" s="177"/>
      <c r="O77" s="177"/>
      <c r="P77" s="177"/>
      <c r="Q77" s="177"/>
      <c r="R77" s="177"/>
    </row>
    <row r="78" spans="9:18" ht="12.75">
      <c r="I78" s="177"/>
      <c r="J78" s="177"/>
      <c r="K78" s="177"/>
      <c r="L78" s="177"/>
      <c r="M78" s="177"/>
      <c r="N78" s="177"/>
      <c r="O78" s="177"/>
      <c r="P78" s="177"/>
      <c r="Q78" s="177"/>
      <c r="R78" s="177"/>
    </row>
    <row r="79" spans="9:18" ht="12.75">
      <c r="I79" s="177"/>
      <c r="J79" s="177"/>
      <c r="K79" s="177"/>
      <c r="L79" s="177"/>
      <c r="M79" s="177"/>
      <c r="N79" s="177"/>
      <c r="O79" s="177"/>
      <c r="P79" s="177"/>
      <c r="Q79" s="177"/>
      <c r="R79" s="177"/>
    </row>
    <row r="80" spans="9:18" ht="12.75">
      <c r="I80" s="177"/>
      <c r="J80" s="177"/>
      <c r="K80" s="177"/>
      <c r="L80" s="177"/>
      <c r="M80" s="177"/>
      <c r="N80" s="177"/>
      <c r="O80" s="177"/>
      <c r="P80" s="177"/>
      <c r="Q80" s="177"/>
      <c r="R80" s="177"/>
    </row>
    <row r="81" spans="9:18" ht="12.75">
      <c r="I81" s="177"/>
      <c r="J81" s="177"/>
      <c r="K81" s="177"/>
      <c r="L81" s="177"/>
      <c r="M81" s="177"/>
      <c r="N81" s="177"/>
      <c r="O81" s="177"/>
      <c r="P81" s="177"/>
      <c r="Q81" s="177"/>
      <c r="R81" s="177"/>
    </row>
    <row r="82" spans="9:18" ht="12.75">
      <c r="I82" s="177"/>
      <c r="J82" s="177"/>
      <c r="K82" s="177"/>
      <c r="L82" s="177"/>
      <c r="M82" s="177"/>
      <c r="N82" s="177"/>
      <c r="O82" s="177"/>
      <c r="P82" s="177"/>
      <c r="Q82" s="177"/>
      <c r="R82" s="177"/>
    </row>
    <row r="83" spans="9:18" ht="12.75">
      <c r="I83" s="177"/>
      <c r="J83" s="177"/>
      <c r="K83" s="177"/>
      <c r="L83" s="177"/>
      <c r="M83" s="177"/>
      <c r="N83" s="177"/>
      <c r="O83" s="177"/>
      <c r="P83" s="177"/>
      <c r="Q83" s="177"/>
      <c r="R83" s="177"/>
    </row>
    <row r="84" spans="9:18" ht="12.75">
      <c r="I84" s="177"/>
      <c r="J84" s="177"/>
      <c r="K84" s="177"/>
      <c r="L84" s="177"/>
      <c r="M84" s="177"/>
      <c r="N84" s="177"/>
      <c r="O84" s="177"/>
      <c r="P84" s="177"/>
      <c r="Q84" s="177"/>
      <c r="R84" s="177"/>
    </row>
    <row r="85" spans="9:18" ht="12.75">
      <c r="I85" s="177"/>
      <c r="J85" s="177"/>
      <c r="K85" s="177"/>
      <c r="L85" s="177"/>
      <c r="M85" s="177"/>
      <c r="N85" s="177"/>
      <c r="O85" s="177"/>
      <c r="P85" s="177"/>
      <c r="Q85" s="177"/>
      <c r="R85" s="177"/>
    </row>
    <row r="86" spans="9:18" ht="12.75">
      <c r="I86" s="177"/>
      <c r="J86" s="177"/>
      <c r="K86" s="177"/>
      <c r="L86" s="177"/>
      <c r="M86" s="177"/>
      <c r="N86" s="177"/>
      <c r="O86" s="177"/>
      <c r="P86" s="177"/>
      <c r="Q86" s="177"/>
      <c r="R86" s="177"/>
    </row>
    <row r="87" spans="9:18" ht="12.75">
      <c r="I87" s="177"/>
      <c r="J87" s="177"/>
      <c r="K87" s="177"/>
      <c r="L87" s="177"/>
      <c r="M87" s="177"/>
      <c r="N87" s="177"/>
      <c r="O87" s="177"/>
      <c r="P87" s="177"/>
      <c r="Q87" s="177"/>
      <c r="R87" s="177"/>
    </row>
    <row r="88" spans="9:18" ht="12.75">
      <c r="I88" s="177"/>
      <c r="J88" s="177"/>
      <c r="K88" s="177"/>
      <c r="L88" s="177"/>
      <c r="M88" s="177"/>
      <c r="N88" s="177"/>
      <c r="O88" s="177"/>
      <c r="P88" s="177"/>
      <c r="Q88" s="177"/>
      <c r="R88" s="177"/>
    </row>
    <row r="89" spans="9:18" ht="12.75">
      <c r="I89" s="177"/>
      <c r="J89" s="177"/>
      <c r="K89" s="177"/>
      <c r="L89" s="177"/>
      <c r="M89" s="177"/>
      <c r="N89" s="177"/>
      <c r="O89" s="177"/>
      <c r="P89" s="177"/>
      <c r="Q89" s="177"/>
      <c r="R89" s="177"/>
    </row>
    <row r="90" spans="9:18" ht="12.75">
      <c r="I90" s="177"/>
      <c r="J90" s="177"/>
      <c r="K90" s="177"/>
      <c r="L90" s="177"/>
      <c r="M90" s="177"/>
      <c r="N90" s="177"/>
      <c r="O90" s="177"/>
      <c r="P90" s="177"/>
      <c r="Q90" s="177"/>
      <c r="R90" s="177"/>
    </row>
    <row r="91" spans="9:18" ht="12.75">
      <c r="I91" s="177"/>
      <c r="J91" s="177"/>
      <c r="K91" s="177"/>
      <c r="L91" s="177"/>
      <c r="M91" s="177"/>
      <c r="N91" s="177"/>
      <c r="O91" s="177"/>
      <c r="P91" s="177"/>
      <c r="Q91" s="177"/>
      <c r="R91" s="177"/>
    </row>
    <row r="92" spans="9:18" ht="12.75">
      <c r="I92" s="177"/>
      <c r="J92" s="177"/>
      <c r="K92" s="177"/>
      <c r="L92" s="177"/>
      <c r="M92" s="177"/>
      <c r="N92" s="177"/>
      <c r="O92" s="177"/>
      <c r="P92" s="177"/>
      <c r="Q92" s="177"/>
      <c r="R92" s="177"/>
    </row>
    <row r="93" spans="9:18" ht="12.75">
      <c r="I93" s="177"/>
      <c r="J93" s="177"/>
      <c r="K93" s="177"/>
      <c r="L93" s="177"/>
      <c r="M93" s="177"/>
      <c r="N93" s="177"/>
      <c r="O93" s="177"/>
      <c r="P93" s="177"/>
      <c r="Q93" s="177"/>
      <c r="R93" s="177"/>
    </row>
    <row r="94" spans="9:18" ht="12.75">
      <c r="I94" s="177"/>
      <c r="J94" s="177"/>
      <c r="K94" s="177"/>
      <c r="L94" s="177"/>
      <c r="M94" s="177"/>
      <c r="N94" s="177"/>
      <c r="O94" s="177"/>
      <c r="P94" s="177"/>
      <c r="Q94" s="177"/>
      <c r="R94" s="177"/>
    </row>
    <row r="95" spans="9:18" ht="12.75">
      <c r="I95" s="177"/>
      <c r="J95" s="177"/>
      <c r="K95" s="177"/>
      <c r="L95" s="177"/>
      <c r="M95" s="177"/>
      <c r="N95" s="177"/>
      <c r="O95" s="177"/>
      <c r="P95" s="177"/>
      <c r="Q95" s="177"/>
      <c r="R95" s="177"/>
    </row>
    <row r="96" spans="9:18" ht="12.75">
      <c r="I96" s="177"/>
      <c r="J96" s="177"/>
      <c r="K96" s="177"/>
      <c r="L96" s="177"/>
      <c r="M96" s="177"/>
      <c r="N96" s="177"/>
      <c r="O96" s="177"/>
      <c r="P96" s="177"/>
      <c r="Q96" s="177"/>
      <c r="R96" s="177"/>
    </row>
    <row r="97" spans="9:18" ht="12.75">
      <c r="I97" s="177"/>
      <c r="J97" s="177"/>
      <c r="K97" s="177"/>
      <c r="L97" s="177"/>
      <c r="M97" s="177"/>
      <c r="N97" s="177"/>
      <c r="O97" s="177"/>
      <c r="P97" s="177"/>
      <c r="Q97" s="177"/>
      <c r="R97" s="177"/>
    </row>
    <row r="98" spans="9:18" ht="12.75">
      <c r="I98" s="177"/>
      <c r="J98" s="177"/>
      <c r="K98" s="177"/>
      <c r="L98" s="177"/>
      <c r="M98" s="177"/>
      <c r="N98" s="177"/>
      <c r="O98" s="177"/>
      <c r="P98" s="177"/>
      <c r="Q98" s="177"/>
      <c r="R98" s="177"/>
    </row>
    <row r="99" spans="9:18" ht="12.75">
      <c r="I99" s="177"/>
      <c r="J99" s="177"/>
      <c r="K99" s="177"/>
      <c r="L99" s="177"/>
      <c r="M99" s="177"/>
      <c r="N99" s="177"/>
      <c r="O99" s="177"/>
      <c r="P99" s="177"/>
      <c r="Q99" s="177"/>
      <c r="R99" s="177"/>
    </row>
    <row r="100" spans="9:18" ht="12.75">
      <c r="I100" s="177"/>
      <c r="J100" s="177"/>
      <c r="K100" s="177"/>
      <c r="L100" s="177"/>
      <c r="M100" s="177"/>
      <c r="N100" s="177"/>
      <c r="O100" s="177"/>
      <c r="P100" s="177"/>
      <c r="Q100" s="177"/>
      <c r="R100" s="177"/>
    </row>
    <row r="101" spans="9:18" ht="12.75">
      <c r="I101" s="177"/>
      <c r="J101" s="177"/>
      <c r="K101" s="177"/>
      <c r="L101" s="177"/>
      <c r="M101" s="177"/>
      <c r="N101" s="177"/>
      <c r="O101" s="177"/>
      <c r="P101" s="177"/>
      <c r="Q101" s="177"/>
      <c r="R101" s="177"/>
    </row>
    <row r="102" spans="9:18" ht="12.75">
      <c r="I102" s="177"/>
      <c r="J102" s="177"/>
      <c r="K102" s="177"/>
      <c r="L102" s="177"/>
      <c r="M102" s="177"/>
      <c r="N102" s="177"/>
      <c r="O102" s="177"/>
      <c r="P102" s="177"/>
      <c r="Q102" s="177"/>
      <c r="R102" s="177"/>
    </row>
    <row r="103" spans="9:18" ht="12.75">
      <c r="I103" s="177"/>
      <c r="J103" s="177"/>
      <c r="K103" s="177"/>
      <c r="L103" s="177"/>
      <c r="M103" s="177"/>
      <c r="N103" s="177"/>
      <c r="O103" s="177"/>
      <c r="P103" s="177"/>
      <c r="Q103" s="177"/>
      <c r="R103" s="177"/>
    </row>
    <row r="104" spans="9:18" ht="12.75">
      <c r="I104" s="177"/>
      <c r="J104" s="177"/>
      <c r="K104" s="177"/>
      <c r="L104" s="177"/>
      <c r="M104" s="177"/>
      <c r="N104" s="177"/>
      <c r="O104" s="177"/>
      <c r="P104" s="177"/>
      <c r="Q104" s="177"/>
      <c r="R104" s="177"/>
    </row>
  </sheetData>
  <printOptions horizontalCentered="1"/>
  <pageMargins left="0.25" right="0.25" top="0.5" bottom="0.25" header="0.5" footer="0.5"/>
  <pageSetup fitToHeight="1" fitToWidth="1" horizontalDpi="600" verticalDpi="600" orientation="landscape" r:id="rId1"/>
  <headerFooter alignWithMargins="0">
    <oddFooter>&amp;LGUD No. 9731&amp;RFinal Order</oddFooter>
  </headerFooter>
</worksheet>
</file>

<file path=xl/worksheets/sheet14.xml><?xml version="1.0" encoding="utf-8"?>
<worksheet xmlns="http://schemas.openxmlformats.org/spreadsheetml/2006/main" xmlns:r="http://schemas.openxmlformats.org/officeDocument/2006/relationships">
  <sheetPr codeName="Sheet14">
    <tabColor indexed="49"/>
  </sheetPr>
  <dimension ref="A1:M48"/>
  <sheetViews>
    <sheetView zoomScale="75" zoomScaleNormal="75" workbookViewId="0" topLeftCell="A1">
      <selection activeCell="K15" sqref="K15"/>
    </sheetView>
  </sheetViews>
  <sheetFormatPr defaultColWidth="9.140625" defaultRowHeight="12.75"/>
  <cols>
    <col min="1" max="1" width="5.7109375" style="0" customWidth="1"/>
    <col min="2" max="2" width="1.7109375" style="0" customWidth="1"/>
    <col min="3" max="3" width="23.421875" style="0" customWidth="1"/>
    <col min="4" max="4" width="5.00390625" style="0" customWidth="1"/>
    <col min="5" max="5" width="10.00390625" style="0" bestFit="1" customWidth="1"/>
    <col min="6" max="6" width="1.7109375" style="0" customWidth="1"/>
    <col min="8" max="8" width="1.7109375" style="0" customWidth="1"/>
    <col min="9" max="9" width="11.140625" style="0" bestFit="1" customWidth="1"/>
    <col min="10" max="10" width="3.140625" style="0" bestFit="1" customWidth="1"/>
    <col min="11" max="11" width="16.140625" style="0" bestFit="1" customWidth="1"/>
    <col min="12" max="12" width="12.421875" style="0" bestFit="1" customWidth="1"/>
  </cols>
  <sheetData>
    <row r="1" spans="1:13" ht="15.75">
      <c r="A1" s="2"/>
      <c r="B1" s="2"/>
      <c r="C1" s="2"/>
      <c r="D1" s="2"/>
      <c r="E1" s="2"/>
      <c r="F1" s="2"/>
      <c r="G1" s="2"/>
      <c r="H1" s="2"/>
      <c r="I1" s="2"/>
      <c r="J1" s="2"/>
      <c r="K1" s="2"/>
      <c r="L1" s="131"/>
      <c r="M1" s="2"/>
    </row>
    <row r="2" spans="1:13" ht="15.75">
      <c r="A2" s="2"/>
      <c r="B2" s="2"/>
      <c r="C2" s="2"/>
      <c r="D2" s="2"/>
      <c r="E2" s="9"/>
      <c r="F2" s="9"/>
      <c r="G2" s="2"/>
      <c r="H2" s="2"/>
      <c r="I2" s="2"/>
      <c r="J2" s="2"/>
      <c r="K2" s="2"/>
      <c r="L2" s="132" t="s">
        <v>726</v>
      </c>
      <c r="M2" s="2"/>
    </row>
    <row r="3" spans="1:13" ht="12.75">
      <c r="A3" s="80" t="str">
        <f>'Schedule A'!$A$3</f>
        <v>HUGHES NATURAL GAS </v>
      </c>
      <c r="B3" s="60"/>
      <c r="C3" s="33"/>
      <c r="D3" s="33"/>
      <c r="E3" s="33"/>
      <c r="F3" s="33"/>
      <c r="G3" s="33"/>
      <c r="H3" s="33"/>
      <c r="I3" s="33"/>
      <c r="J3" s="33"/>
      <c r="K3" s="33"/>
      <c r="L3" s="33"/>
      <c r="M3" s="2"/>
    </row>
    <row r="4" spans="1:13" ht="12.75">
      <c r="A4" s="80" t="str">
        <f>'Schedule A'!$A$4</f>
        <v>TEST YEAR ENDING DECEMBER 31, 2006</v>
      </c>
      <c r="B4" s="60"/>
      <c r="C4" s="33"/>
      <c r="D4" s="33"/>
      <c r="E4" s="33"/>
      <c r="F4" s="33"/>
      <c r="G4" s="33"/>
      <c r="H4" s="33"/>
      <c r="I4" s="33"/>
      <c r="J4" s="33"/>
      <c r="K4" s="33"/>
      <c r="L4" s="33"/>
      <c r="M4" s="2"/>
    </row>
    <row r="5" spans="1:13" ht="12.75">
      <c r="A5" s="33"/>
      <c r="B5" s="33"/>
      <c r="C5" s="33"/>
      <c r="D5" s="33"/>
      <c r="E5" s="33"/>
      <c r="F5" s="33"/>
      <c r="G5" s="33"/>
      <c r="H5" s="33"/>
      <c r="I5" s="33"/>
      <c r="J5" s="33"/>
      <c r="K5" s="33"/>
      <c r="L5" s="33"/>
      <c r="M5" s="2"/>
    </row>
    <row r="6" spans="1:13" ht="12.75">
      <c r="A6" s="34" t="s">
        <v>463</v>
      </c>
      <c r="B6" s="34"/>
      <c r="C6" s="33"/>
      <c r="D6" s="33"/>
      <c r="E6" s="33"/>
      <c r="F6" s="33"/>
      <c r="G6" s="33"/>
      <c r="H6" s="33"/>
      <c r="I6" s="33"/>
      <c r="J6" s="33"/>
      <c r="K6" s="33"/>
      <c r="L6" s="33"/>
      <c r="M6" s="2"/>
    </row>
    <row r="7" spans="4:13" ht="13.5" thickBot="1">
      <c r="D7" s="2"/>
      <c r="E7" s="2"/>
      <c r="F7" s="2"/>
      <c r="G7" s="2"/>
      <c r="H7" s="2"/>
      <c r="I7" s="2"/>
      <c r="J7" s="2"/>
      <c r="K7" s="2"/>
      <c r="L7" s="2"/>
      <c r="M7" s="2"/>
    </row>
    <row r="8" spans="1:13" ht="12.75">
      <c r="A8" s="119" t="s">
        <v>486</v>
      </c>
      <c r="B8" s="2"/>
      <c r="C8" s="92"/>
      <c r="D8" s="2"/>
      <c r="E8" s="92"/>
      <c r="F8" s="2"/>
      <c r="G8" s="92"/>
      <c r="H8" s="2"/>
      <c r="I8" s="119" t="s">
        <v>76</v>
      </c>
      <c r="J8" s="2"/>
      <c r="K8" s="119" t="s">
        <v>731</v>
      </c>
      <c r="L8" s="92"/>
      <c r="M8" s="2"/>
    </row>
    <row r="9" spans="1:13" ht="13.5" thickBot="1">
      <c r="A9" s="97" t="s">
        <v>552</v>
      </c>
      <c r="B9" s="67"/>
      <c r="C9" s="90" t="s">
        <v>553</v>
      </c>
      <c r="D9" s="2"/>
      <c r="E9" s="90" t="s">
        <v>544</v>
      </c>
      <c r="F9" s="124"/>
      <c r="G9" s="90" t="s">
        <v>452</v>
      </c>
      <c r="H9" s="2"/>
      <c r="I9" s="90" t="s">
        <v>534</v>
      </c>
      <c r="J9" s="3"/>
      <c r="K9" s="90" t="s">
        <v>534</v>
      </c>
      <c r="L9" s="90" t="s">
        <v>592</v>
      </c>
      <c r="M9" s="2"/>
    </row>
    <row r="10" spans="1:13" ht="12.75">
      <c r="A10" s="2"/>
      <c r="B10" s="2"/>
      <c r="C10" s="66" t="s">
        <v>404</v>
      </c>
      <c r="D10" s="2"/>
      <c r="E10" s="3" t="s">
        <v>405</v>
      </c>
      <c r="F10" s="35"/>
      <c r="G10" s="3" t="s">
        <v>551</v>
      </c>
      <c r="H10" s="2"/>
      <c r="I10" s="3" t="s">
        <v>406</v>
      </c>
      <c r="J10" s="2"/>
      <c r="K10" s="3" t="s">
        <v>550</v>
      </c>
      <c r="L10" s="3" t="s">
        <v>555</v>
      </c>
      <c r="M10" s="2"/>
    </row>
    <row r="11" spans="1:13" ht="12.75">
      <c r="A11" s="2"/>
      <c r="B11" s="2"/>
      <c r="C11" s="66"/>
      <c r="D11" s="2"/>
      <c r="E11" s="3"/>
      <c r="F11" s="35"/>
      <c r="G11" s="3"/>
      <c r="H11" s="2"/>
      <c r="I11" s="3"/>
      <c r="J11" s="2"/>
      <c r="K11" s="2"/>
      <c r="L11" s="3"/>
      <c r="M11" s="2"/>
    </row>
    <row r="12" spans="1:13" ht="12.75">
      <c r="A12" s="2"/>
      <c r="B12" s="4"/>
      <c r="C12" s="4" t="s">
        <v>448</v>
      </c>
      <c r="D12" s="2"/>
      <c r="E12" s="2"/>
      <c r="F12" s="2"/>
      <c r="G12" s="2"/>
      <c r="H12" s="2"/>
      <c r="I12" s="2"/>
      <c r="J12" s="2"/>
      <c r="K12" s="2"/>
      <c r="L12" s="2"/>
      <c r="M12" s="2"/>
    </row>
    <row r="13" spans="1:13" ht="12.75">
      <c r="A13" s="2"/>
      <c r="B13" s="2"/>
      <c r="C13" s="2"/>
      <c r="D13" s="2"/>
      <c r="E13" s="2"/>
      <c r="F13" s="2"/>
      <c r="G13" s="2"/>
      <c r="H13" s="2"/>
      <c r="I13" s="2"/>
      <c r="J13" s="2"/>
      <c r="K13" s="2"/>
      <c r="L13" s="2"/>
      <c r="M13" s="2"/>
    </row>
    <row r="14" spans="1:13" ht="12.75">
      <c r="A14" s="3">
        <v>1</v>
      </c>
      <c r="B14" s="1"/>
      <c r="C14" s="186" t="s">
        <v>449</v>
      </c>
      <c r="D14" s="174"/>
      <c r="E14" s="187">
        <v>3010862.61</v>
      </c>
      <c r="F14" s="188"/>
      <c r="G14" s="189">
        <v>1</v>
      </c>
      <c r="H14" s="189"/>
      <c r="I14" s="189">
        <v>0.1325</v>
      </c>
      <c r="J14" s="36" t="s">
        <v>489</v>
      </c>
      <c r="K14" s="36">
        <v>0.1025</v>
      </c>
      <c r="L14" s="35">
        <f>+K14*G14</f>
        <v>0.1025</v>
      </c>
      <c r="M14" s="2"/>
    </row>
    <row r="15" spans="1:13" ht="12.75">
      <c r="A15" s="3"/>
      <c r="B15" s="2"/>
      <c r="C15" s="174"/>
      <c r="D15" s="174"/>
      <c r="E15" s="188"/>
      <c r="F15" s="188"/>
      <c r="G15" s="189"/>
      <c r="H15" s="189"/>
      <c r="I15" s="189"/>
      <c r="J15" s="35"/>
      <c r="K15" s="35"/>
      <c r="L15" s="35"/>
      <c r="M15" s="2"/>
    </row>
    <row r="16" spans="1:13" ht="13.5" thickBot="1">
      <c r="A16" s="3">
        <v>2</v>
      </c>
      <c r="B16" s="1"/>
      <c r="C16" s="186" t="s">
        <v>450</v>
      </c>
      <c r="D16" s="174"/>
      <c r="E16" s="188">
        <v>0</v>
      </c>
      <c r="F16" s="188"/>
      <c r="G16" s="189">
        <v>0</v>
      </c>
      <c r="H16" s="189"/>
      <c r="I16" s="189"/>
      <c r="L16" s="37">
        <f>+I16*G16</f>
        <v>0</v>
      </c>
      <c r="M16" s="2"/>
    </row>
    <row r="17" spans="1:13" ht="12.75">
      <c r="A17" s="3"/>
      <c r="B17" s="2"/>
      <c r="C17" s="174"/>
      <c r="D17" s="174"/>
      <c r="E17" s="188"/>
      <c r="F17" s="188"/>
      <c r="G17" s="189"/>
      <c r="H17" s="189"/>
      <c r="I17" s="189"/>
      <c r="J17" s="35"/>
      <c r="K17" s="35"/>
      <c r="L17" s="35"/>
      <c r="M17" s="2"/>
    </row>
    <row r="18" spans="1:13" ht="12.75">
      <c r="A18" s="3">
        <v>3</v>
      </c>
      <c r="B18" s="1"/>
      <c r="C18" s="186" t="s">
        <v>464</v>
      </c>
      <c r="D18" s="174"/>
      <c r="E18" s="187">
        <f>+E16+E14</f>
        <v>3010862.61</v>
      </c>
      <c r="F18" s="188"/>
      <c r="G18" s="189"/>
      <c r="H18" s="189"/>
      <c r="I18" s="189"/>
      <c r="J18" s="35"/>
      <c r="K18" s="35"/>
      <c r="L18" s="705">
        <f>+L16+L14</f>
        <v>0.1025</v>
      </c>
      <c r="M18" s="2"/>
    </row>
    <row r="19" spans="3:13" ht="12.75">
      <c r="C19" s="177"/>
      <c r="D19" s="174"/>
      <c r="E19" s="188"/>
      <c r="F19" s="188"/>
      <c r="G19" s="189"/>
      <c r="H19" s="189"/>
      <c r="I19" s="189"/>
      <c r="J19" s="35"/>
      <c r="K19" s="35"/>
      <c r="L19" s="35"/>
      <c r="M19" s="2"/>
    </row>
    <row r="20" spans="1:13" ht="13.5" thickBot="1">
      <c r="A20" s="3">
        <v>4</v>
      </c>
      <c r="C20" s="186" t="s">
        <v>461</v>
      </c>
      <c r="D20" s="174"/>
      <c r="E20" s="174"/>
      <c r="F20" s="174"/>
      <c r="G20" s="174"/>
      <c r="H20" s="174"/>
      <c r="I20" s="174"/>
      <c r="J20" s="2"/>
      <c r="K20" s="2"/>
      <c r="L20" s="223">
        <f>'Schedule A'!G27</f>
        <v>0.08678</v>
      </c>
      <c r="M20" s="2"/>
    </row>
    <row r="21" spans="3:13" ht="13.5" thickTop="1">
      <c r="C21" s="177"/>
      <c r="D21" s="174"/>
      <c r="E21" s="174"/>
      <c r="F21" s="174"/>
      <c r="G21" s="174"/>
      <c r="H21" s="174"/>
      <c r="I21" s="174"/>
      <c r="J21" s="2"/>
      <c r="K21" s="2"/>
      <c r="L21" s="2"/>
      <c r="M21" s="2"/>
    </row>
    <row r="22" spans="3:13" ht="12.75">
      <c r="C22" s="177"/>
      <c r="D22" s="174"/>
      <c r="E22" s="174"/>
      <c r="F22" s="174"/>
      <c r="G22" s="174"/>
      <c r="H22" s="174"/>
      <c r="I22" s="174"/>
      <c r="J22" s="2"/>
      <c r="K22" s="2"/>
      <c r="L22" s="2"/>
      <c r="M22" s="2"/>
    </row>
    <row r="23" spans="3:13" ht="12.75">
      <c r="C23" s="183" t="s">
        <v>667</v>
      </c>
      <c r="D23" s="174"/>
      <c r="E23" s="174"/>
      <c r="F23" s="174"/>
      <c r="G23" s="174"/>
      <c r="H23" s="174"/>
      <c r="I23" s="174"/>
      <c r="J23" s="2"/>
      <c r="K23" s="2"/>
      <c r="L23" s="2"/>
      <c r="M23" s="2"/>
    </row>
    <row r="24" spans="3:13" ht="12.75">
      <c r="C24" s="177"/>
      <c r="D24" s="174"/>
      <c r="E24" s="174"/>
      <c r="F24" s="174"/>
      <c r="G24" s="174"/>
      <c r="H24" s="174"/>
      <c r="I24" s="174"/>
      <c r="J24" s="2"/>
      <c r="K24" s="2"/>
      <c r="L24" s="2"/>
      <c r="M24" s="2"/>
    </row>
    <row r="25" spans="4:13" ht="12.75">
      <c r="D25" s="2"/>
      <c r="E25" s="2"/>
      <c r="F25" s="2"/>
      <c r="G25" s="2"/>
      <c r="H25" s="2"/>
      <c r="I25" s="2"/>
      <c r="J25" s="2"/>
      <c r="K25" s="2"/>
      <c r="L25" s="2"/>
      <c r="M25" s="2"/>
    </row>
    <row r="26" spans="4:13" ht="12.75">
      <c r="D26" s="2"/>
      <c r="E26" s="2"/>
      <c r="F26" s="2"/>
      <c r="G26" s="2"/>
      <c r="H26" s="2"/>
      <c r="I26" s="2"/>
      <c r="J26" s="2"/>
      <c r="K26" s="2"/>
      <c r="L26" s="2"/>
      <c r="M26" s="2"/>
    </row>
    <row r="27" spans="4:13" ht="12.75">
      <c r="D27" s="2"/>
      <c r="E27" s="2"/>
      <c r="F27" s="2"/>
      <c r="G27" s="2"/>
      <c r="H27" s="2"/>
      <c r="I27" s="2"/>
      <c r="J27" s="2"/>
      <c r="K27" s="2"/>
      <c r="L27" s="2"/>
      <c r="M27" s="2"/>
    </row>
    <row r="28" spans="4:13" ht="12.75">
      <c r="D28" s="2"/>
      <c r="E28" s="2"/>
      <c r="F28" s="2"/>
      <c r="G28" s="2"/>
      <c r="H28" s="2"/>
      <c r="I28" s="2"/>
      <c r="J28" s="2"/>
      <c r="K28" s="2"/>
      <c r="L28" s="2"/>
      <c r="M28" s="2"/>
    </row>
    <row r="29" spans="4:13" ht="12.75">
      <c r="D29" s="2"/>
      <c r="E29" s="2"/>
      <c r="F29" s="2"/>
      <c r="G29" s="35"/>
      <c r="H29" s="35"/>
      <c r="I29" s="35"/>
      <c r="J29" s="35"/>
      <c r="K29" s="35"/>
      <c r="L29" s="35"/>
      <c r="M29" s="2"/>
    </row>
    <row r="30" spans="4:13" ht="12.75">
      <c r="D30" s="2"/>
      <c r="E30" s="2"/>
      <c r="F30" s="2"/>
      <c r="G30" s="2"/>
      <c r="H30" s="2"/>
      <c r="I30" s="2"/>
      <c r="J30" s="2"/>
      <c r="K30" s="2"/>
      <c r="L30" s="2"/>
      <c r="M30" s="2"/>
    </row>
    <row r="31" spans="4:13" ht="12.75">
      <c r="D31" s="2"/>
      <c r="E31" s="2"/>
      <c r="F31" s="2"/>
      <c r="G31" s="2"/>
      <c r="H31" s="2"/>
      <c r="I31" s="2"/>
      <c r="J31" s="2"/>
      <c r="K31" s="2"/>
      <c r="L31" s="2"/>
      <c r="M31" s="2"/>
    </row>
    <row r="48" ht="12.75">
      <c r="C48" s="183"/>
    </row>
  </sheetData>
  <printOptions horizontalCentered="1"/>
  <pageMargins left="0.5" right="0.5" top="1.5" bottom="1" header="0.45" footer="0.5"/>
  <pageSetup horizontalDpi="600" verticalDpi="600" orientation="portrait" scale="90" r:id="rId1"/>
  <headerFooter alignWithMargins="0">
    <oddFooter>&amp;LGUD No. 9731&amp;RFinal Order</oddFooter>
  </headerFooter>
</worksheet>
</file>

<file path=xl/worksheets/sheet15.xml><?xml version="1.0" encoding="utf-8"?>
<worksheet xmlns="http://schemas.openxmlformats.org/spreadsheetml/2006/main" xmlns:r="http://schemas.openxmlformats.org/officeDocument/2006/relationships">
  <sheetPr codeName="Sheet15">
    <tabColor indexed="49"/>
  </sheetPr>
  <dimension ref="A1:V127"/>
  <sheetViews>
    <sheetView tabSelected="1" zoomScale="75" zoomScaleNormal="75" workbookViewId="0" topLeftCell="A71">
      <selection activeCell="J107" sqref="J107"/>
    </sheetView>
  </sheetViews>
  <sheetFormatPr defaultColWidth="9.140625" defaultRowHeight="12.75"/>
  <cols>
    <col min="1" max="1" width="0.9921875" style="0" customWidth="1"/>
    <col min="2" max="2" width="5.00390625" style="0" customWidth="1"/>
    <col min="3" max="3" width="1.28515625" style="0" customWidth="1"/>
    <col min="4" max="4" width="32.8515625" style="0" customWidth="1"/>
    <col min="5" max="5" width="1.421875" style="0" customWidth="1"/>
    <col min="6" max="6" width="19.421875" style="0" bestFit="1" customWidth="1"/>
    <col min="7" max="7" width="0.85546875" style="0" customWidth="1"/>
    <col min="8" max="8" width="13.7109375" style="0" bestFit="1" customWidth="1"/>
    <col min="9" max="9" width="0.9921875" style="0" customWidth="1"/>
    <col min="10" max="10" width="20.00390625" style="0" bestFit="1" customWidth="1"/>
    <col min="11" max="11" width="1.1484375" style="0" customWidth="1"/>
    <col min="12" max="12" width="16.00390625" style="0" bestFit="1" customWidth="1"/>
    <col min="13" max="13" width="0.9921875" style="0" customWidth="1"/>
    <col min="14" max="14" width="19.57421875" style="0" bestFit="1" customWidth="1"/>
    <col min="15" max="15" width="0.9921875" style="0" customWidth="1"/>
    <col min="16" max="16" width="16.140625" style="0" bestFit="1" customWidth="1"/>
    <col min="17" max="17" width="14.421875" style="0" bestFit="1" customWidth="1"/>
    <col min="18" max="18" width="10.140625" style="0" customWidth="1"/>
  </cols>
  <sheetData>
    <row r="1" spans="1:16" ht="15.75">
      <c r="A1" s="2"/>
      <c r="B1" s="2"/>
      <c r="C1" s="2"/>
      <c r="D1" s="2"/>
      <c r="E1" s="2"/>
      <c r="F1" s="2"/>
      <c r="G1" s="2"/>
      <c r="H1" s="2"/>
      <c r="I1" s="2"/>
      <c r="L1" s="2"/>
      <c r="N1" s="2"/>
      <c r="P1" s="132" t="s">
        <v>594</v>
      </c>
    </row>
    <row r="2" spans="1:16" ht="15.75">
      <c r="A2" s="2"/>
      <c r="B2" s="2"/>
      <c r="C2" s="2"/>
      <c r="D2" s="2"/>
      <c r="E2" s="2"/>
      <c r="F2" s="2"/>
      <c r="G2" s="2"/>
      <c r="H2" s="2"/>
      <c r="I2" s="2"/>
      <c r="L2" s="2"/>
      <c r="N2" s="2"/>
      <c r="P2" s="583" t="s">
        <v>678</v>
      </c>
    </row>
    <row r="3" spans="1:16" ht="12.75">
      <c r="A3" s="80" t="s">
        <v>528</v>
      </c>
      <c r="B3" s="461"/>
      <c r="C3" s="461"/>
      <c r="D3" s="461"/>
      <c r="E3" s="461"/>
      <c r="F3" s="461"/>
      <c r="G3" s="461"/>
      <c r="H3" s="461"/>
      <c r="I3" s="461"/>
      <c r="J3" s="461"/>
      <c r="K3" s="461"/>
      <c r="L3" s="461"/>
      <c r="M3" s="461"/>
      <c r="N3" s="461"/>
      <c r="O3" s="461"/>
      <c r="P3" s="461"/>
    </row>
    <row r="4" spans="1:16" ht="12.75">
      <c r="A4" s="80" t="s">
        <v>500</v>
      </c>
      <c r="B4" s="461"/>
      <c r="C4" s="461"/>
      <c r="D4" s="461"/>
      <c r="E4" s="461"/>
      <c r="F4" s="461"/>
      <c r="G4" s="461"/>
      <c r="H4" s="461"/>
      <c r="I4" s="461"/>
      <c r="J4" s="461"/>
      <c r="K4" s="461"/>
      <c r="L4" s="461"/>
      <c r="M4" s="461"/>
      <c r="N4" s="461"/>
      <c r="O4" s="461"/>
      <c r="P4" s="461"/>
    </row>
    <row r="5" spans="1:16" ht="12.75">
      <c r="A5" s="60"/>
      <c r="B5" s="33"/>
      <c r="C5" s="60"/>
      <c r="D5" s="33"/>
      <c r="E5" s="33"/>
      <c r="F5" s="33"/>
      <c r="G5" s="33"/>
      <c r="H5" s="33"/>
      <c r="I5" s="33"/>
      <c r="J5" s="33"/>
      <c r="K5" s="33"/>
      <c r="L5" s="33"/>
      <c r="M5" s="33"/>
      <c r="N5" s="33"/>
      <c r="O5" s="461"/>
      <c r="P5" s="461"/>
    </row>
    <row r="6" spans="1:16" ht="12.75">
      <c r="A6" s="62" t="s">
        <v>679</v>
      </c>
      <c r="B6" s="461"/>
      <c r="C6" s="461"/>
      <c r="D6" s="461"/>
      <c r="E6" s="461"/>
      <c r="F6" s="461"/>
      <c r="G6" s="461"/>
      <c r="H6" s="461"/>
      <c r="I6" s="461"/>
      <c r="J6" s="461"/>
      <c r="K6" s="461"/>
      <c r="L6" s="461"/>
      <c r="M6" s="461"/>
      <c r="N6" s="461"/>
      <c r="O6" s="461"/>
      <c r="P6" s="461"/>
    </row>
    <row r="7" spans="2:11" ht="13.5" thickBot="1">
      <c r="B7" s="58"/>
      <c r="C7" s="6"/>
      <c r="D7" s="6"/>
      <c r="E7" s="58"/>
      <c r="F7" s="33"/>
      <c r="G7" s="33"/>
      <c r="H7" s="33"/>
      <c r="I7" s="33"/>
      <c r="J7" s="33"/>
      <c r="K7" s="58"/>
    </row>
    <row r="8" spans="2:16" ht="12.75">
      <c r="B8" s="119" t="s">
        <v>486</v>
      </c>
      <c r="C8" s="58"/>
      <c r="D8" s="91"/>
      <c r="E8" s="58"/>
      <c r="F8" s="119" t="s">
        <v>484</v>
      </c>
      <c r="G8" s="2"/>
      <c r="H8" s="119" t="s">
        <v>477</v>
      </c>
      <c r="I8" s="2"/>
      <c r="J8" s="119" t="s">
        <v>477</v>
      </c>
      <c r="K8" s="58"/>
      <c r="L8" s="119" t="s">
        <v>431</v>
      </c>
      <c r="N8" s="119" t="s">
        <v>615</v>
      </c>
      <c r="P8" s="119" t="s">
        <v>477</v>
      </c>
    </row>
    <row r="9" spans="2:16" ht="13.5" thickBot="1">
      <c r="B9" s="97" t="s">
        <v>552</v>
      </c>
      <c r="C9" s="58"/>
      <c r="D9" s="90" t="s">
        <v>553</v>
      </c>
      <c r="E9" s="2"/>
      <c r="F9" s="97" t="s">
        <v>607</v>
      </c>
      <c r="G9" s="2"/>
      <c r="H9" s="97" t="s">
        <v>478</v>
      </c>
      <c r="I9" s="2"/>
      <c r="J9" s="97" t="s">
        <v>595</v>
      </c>
      <c r="K9" s="2"/>
      <c r="L9" s="97" t="s">
        <v>432</v>
      </c>
      <c r="N9" s="97" t="s">
        <v>433</v>
      </c>
      <c r="P9" s="97" t="s">
        <v>434</v>
      </c>
    </row>
    <row r="10" spans="2:16" ht="12.75">
      <c r="B10" s="58"/>
      <c r="C10" s="58"/>
      <c r="D10" s="66" t="s">
        <v>404</v>
      </c>
      <c r="E10" s="2"/>
      <c r="F10" s="3" t="s">
        <v>405</v>
      </c>
      <c r="G10" s="2"/>
      <c r="H10" s="3" t="s">
        <v>551</v>
      </c>
      <c r="I10" s="2"/>
      <c r="J10" s="3" t="s">
        <v>406</v>
      </c>
      <c r="K10" s="2"/>
      <c r="L10" s="3" t="s">
        <v>550</v>
      </c>
      <c r="N10" s="3" t="s">
        <v>555</v>
      </c>
      <c r="P10" s="3" t="s">
        <v>481</v>
      </c>
    </row>
    <row r="11" spans="2:14" ht="12.75">
      <c r="B11" s="2"/>
      <c r="C11" s="2"/>
      <c r="D11" s="2"/>
      <c r="E11" s="2"/>
      <c r="F11" s="2"/>
      <c r="G11" s="2"/>
      <c r="H11" s="2"/>
      <c r="I11" s="2"/>
      <c r="J11" s="2"/>
      <c r="K11" s="2"/>
      <c r="M11" s="139"/>
      <c r="N11" s="141"/>
    </row>
    <row r="12" spans="2:16" ht="12.75">
      <c r="B12" s="3">
        <v>1</v>
      </c>
      <c r="C12" s="2"/>
      <c r="D12" s="186" t="s">
        <v>608</v>
      </c>
      <c r="E12" s="2"/>
      <c r="F12" s="55">
        <v>52075.35480649887</v>
      </c>
      <c r="G12" s="2"/>
      <c r="H12" s="55">
        <v>0</v>
      </c>
      <c r="I12" s="6"/>
      <c r="J12" s="55">
        <v>52075.35480649887</v>
      </c>
      <c r="K12" s="122"/>
      <c r="L12" s="55">
        <v>39119.50263876806</v>
      </c>
      <c r="M12" s="140"/>
      <c r="N12" s="122">
        <v>91194.85744526694</v>
      </c>
      <c r="P12" s="616">
        <v>0</v>
      </c>
    </row>
    <row r="13" spans="2:16" ht="12.75">
      <c r="B13" s="3">
        <v>2</v>
      </c>
      <c r="C13" s="2"/>
      <c r="D13" s="186" t="s">
        <v>409</v>
      </c>
      <c r="E13" s="2"/>
      <c r="F13" s="181">
        <v>4068.024188515449</v>
      </c>
      <c r="G13" s="2"/>
      <c r="H13" s="181"/>
      <c r="I13" s="144"/>
      <c r="J13" s="181"/>
      <c r="K13" s="122"/>
      <c r="M13" s="123"/>
      <c r="N13" s="123"/>
      <c r="P13" s="616"/>
    </row>
    <row r="14" spans="2:16" ht="12.75">
      <c r="B14" s="3">
        <v>3</v>
      </c>
      <c r="C14" s="2"/>
      <c r="D14" s="186" t="s">
        <v>410</v>
      </c>
      <c r="E14" s="2"/>
      <c r="F14" s="41">
        <v>1680</v>
      </c>
      <c r="G14" s="2"/>
      <c r="H14" s="41"/>
      <c r="I14" s="144"/>
      <c r="J14" s="41"/>
      <c r="K14" s="122"/>
      <c r="N14" s="138"/>
      <c r="P14" s="616"/>
    </row>
    <row r="15" spans="2:16" ht="12.75">
      <c r="B15" s="3"/>
      <c r="C15" s="2"/>
      <c r="D15" s="186"/>
      <c r="E15" s="2"/>
      <c r="F15" s="2"/>
      <c r="G15" s="2"/>
      <c r="H15" s="2"/>
      <c r="I15" s="144"/>
      <c r="J15" s="2"/>
      <c r="K15" s="122"/>
      <c r="N15" s="138"/>
      <c r="P15" s="616"/>
    </row>
    <row r="16" spans="2:16" ht="12.75">
      <c r="B16" s="3">
        <v>4</v>
      </c>
      <c r="C16" s="2"/>
      <c r="D16" s="186" t="s">
        <v>609</v>
      </c>
      <c r="E16" s="2"/>
      <c r="F16" s="55">
        <v>483559.9789283523</v>
      </c>
      <c r="G16" s="2"/>
      <c r="H16" s="55">
        <v>239571.3744338806</v>
      </c>
      <c r="I16" s="144"/>
      <c r="J16" s="55">
        <v>723131.3533622329</v>
      </c>
      <c r="K16" s="122"/>
      <c r="L16" s="55">
        <v>703662.9535583905</v>
      </c>
      <c r="N16" s="122">
        <v>1187222.9324867427</v>
      </c>
      <c r="P16" s="616">
        <v>0.20179139728380863</v>
      </c>
    </row>
    <row r="17" spans="2:16" ht="12.75">
      <c r="B17" s="3">
        <v>5</v>
      </c>
      <c r="C17" s="2"/>
      <c r="D17" s="186" t="s">
        <v>409</v>
      </c>
      <c r="E17" s="2"/>
      <c r="F17" s="181">
        <v>73173.67866535588</v>
      </c>
      <c r="G17" s="2"/>
      <c r="H17" s="181"/>
      <c r="I17" s="144"/>
      <c r="J17" s="181"/>
      <c r="K17" s="122"/>
      <c r="N17" s="138"/>
      <c r="P17" s="616"/>
    </row>
    <row r="18" spans="2:16" ht="12.75">
      <c r="B18" s="3">
        <v>6</v>
      </c>
      <c r="C18" s="2"/>
      <c r="D18" s="186" t="s">
        <v>410</v>
      </c>
      <c r="E18" s="2"/>
      <c r="F18" s="41">
        <v>16440</v>
      </c>
      <c r="G18" s="2"/>
      <c r="H18" s="41"/>
      <c r="I18" s="144"/>
      <c r="J18" s="41"/>
      <c r="K18" s="122"/>
      <c r="N18" s="138"/>
      <c r="P18" s="616"/>
    </row>
    <row r="19" spans="2:16" ht="12.75">
      <c r="B19" s="3"/>
      <c r="C19" s="2"/>
      <c r="D19" s="186"/>
      <c r="E19" s="2"/>
      <c r="F19" s="2"/>
      <c r="G19" s="2"/>
      <c r="H19" s="2"/>
      <c r="I19" s="144"/>
      <c r="J19" s="2"/>
      <c r="K19" s="122"/>
      <c r="N19" s="138"/>
      <c r="P19" s="616"/>
    </row>
    <row r="20" spans="2:16" ht="12.75">
      <c r="B20" s="3">
        <v>7</v>
      </c>
      <c r="C20" s="2"/>
      <c r="D20" s="186" t="s">
        <v>610</v>
      </c>
      <c r="E20" s="2"/>
      <c r="F20" s="55">
        <v>13899.215781888624</v>
      </c>
      <c r="G20" s="2"/>
      <c r="H20" s="55">
        <v>21685.866337029853</v>
      </c>
      <c r="I20" s="144"/>
      <c r="J20" s="55">
        <v>35585.08211891848</v>
      </c>
      <c r="K20" s="122"/>
      <c r="L20" s="55">
        <v>36699.9973443105</v>
      </c>
      <c r="N20" s="122">
        <v>50599.21312619912</v>
      </c>
      <c r="P20" s="616">
        <v>0.4285810983452113</v>
      </c>
    </row>
    <row r="21" spans="2:16" ht="12.75">
      <c r="B21" s="3">
        <v>8</v>
      </c>
      <c r="C21" s="2"/>
      <c r="D21" s="186" t="s">
        <v>409</v>
      </c>
      <c r="E21" s="2"/>
      <c r="F21" s="181">
        <v>3816.420630234512</v>
      </c>
      <c r="G21" s="2"/>
      <c r="H21" s="181"/>
      <c r="I21" s="144"/>
      <c r="J21" s="181"/>
      <c r="K21" s="122"/>
      <c r="P21" s="616"/>
    </row>
    <row r="22" spans="2:16" ht="12.75">
      <c r="B22" s="3">
        <v>9</v>
      </c>
      <c r="C22" s="2"/>
      <c r="D22" s="186" t="s">
        <v>410</v>
      </c>
      <c r="E22" s="2"/>
      <c r="F22" s="41">
        <v>720</v>
      </c>
      <c r="G22" s="2"/>
      <c r="H22" s="41"/>
      <c r="I22" s="144"/>
      <c r="J22" s="41"/>
      <c r="K22" s="122"/>
      <c r="P22" s="616"/>
    </row>
    <row r="23" spans="2:16" ht="12.75">
      <c r="B23" s="3"/>
      <c r="C23" s="2"/>
      <c r="D23" s="186"/>
      <c r="E23" s="2"/>
      <c r="F23" s="2"/>
      <c r="G23" s="2"/>
      <c r="H23" s="2"/>
      <c r="I23" s="144"/>
      <c r="J23" s="2"/>
      <c r="K23" s="122"/>
      <c r="P23" s="616"/>
    </row>
    <row r="24" spans="2:16" ht="12.75">
      <c r="B24" s="3">
        <v>10</v>
      </c>
      <c r="C24" s="2"/>
      <c r="D24" s="186" t="s">
        <v>611</v>
      </c>
      <c r="E24" s="2"/>
      <c r="F24" s="55">
        <v>59310.15671503972</v>
      </c>
      <c r="G24" s="2"/>
      <c r="H24" s="171">
        <v>11103.658747961716</v>
      </c>
      <c r="I24" s="144"/>
      <c r="J24" s="55">
        <v>70413.81546300143</v>
      </c>
      <c r="K24" s="122"/>
      <c r="L24" s="55">
        <v>41241.81649399839</v>
      </c>
      <c r="N24" s="122">
        <v>100551.97320903811</v>
      </c>
      <c r="P24" s="616">
        <v>0.11042705969457457</v>
      </c>
    </row>
    <row r="25" spans="2:16" ht="12.75">
      <c r="B25" s="3">
        <v>11</v>
      </c>
      <c r="C25" s="2"/>
      <c r="D25" s="186" t="s">
        <v>409</v>
      </c>
      <c r="E25" s="2"/>
      <c r="F25" s="181">
        <v>4288.722906963429</v>
      </c>
      <c r="G25" s="2"/>
      <c r="H25" s="181"/>
      <c r="I25" s="144"/>
      <c r="J25" s="181"/>
      <c r="K25" s="122"/>
      <c r="P25" s="616"/>
    </row>
    <row r="26" spans="2:16" ht="12.75">
      <c r="B26" s="3">
        <v>12</v>
      </c>
      <c r="C26" s="2"/>
      <c r="D26" s="186" t="s">
        <v>410</v>
      </c>
      <c r="E26" s="2"/>
      <c r="F26" s="41">
        <v>2772</v>
      </c>
      <c r="G26" s="2"/>
      <c r="H26" s="41"/>
      <c r="I26" s="144"/>
      <c r="J26" s="41"/>
      <c r="K26" s="122"/>
      <c r="P26" s="616"/>
    </row>
    <row r="27" spans="2:16" ht="12.75">
      <c r="B27" s="3"/>
      <c r="C27" s="2"/>
      <c r="D27" s="186"/>
      <c r="E27" s="2"/>
      <c r="F27" s="105"/>
      <c r="G27" s="2"/>
      <c r="H27" s="105"/>
      <c r="I27" s="144"/>
      <c r="J27" s="105"/>
      <c r="K27" s="122"/>
      <c r="P27" s="616"/>
    </row>
    <row r="28" spans="2:16" ht="12.75">
      <c r="B28" s="3">
        <v>13</v>
      </c>
      <c r="C28" s="2"/>
      <c r="D28" s="186" t="s">
        <v>612</v>
      </c>
      <c r="E28" s="174"/>
      <c r="F28" s="171">
        <v>100243.7835361815</v>
      </c>
      <c r="G28" s="174"/>
      <c r="H28" s="171">
        <v>0</v>
      </c>
      <c r="I28" s="178"/>
      <c r="J28" s="171">
        <v>100243.7835361815</v>
      </c>
      <c r="K28" s="174"/>
      <c r="L28" s="55">
        <v>138604.1864717783</v>
      </c>
      <c r="N28" s="122">
        <v>238847.97000795978</v>
      </c>
      <c r="P28" s="616">
        <v>0</v>
      </c>
    </row>
    <row r="29" spans="2:16" ht="12.75">
      <c r="B29" s="3">
        <v>14</v>
      </c>
      <c r="C29" s="2"/>
      <c r="D29" s="186" t="s">
        <v>409</v>
      </c>
      <c r="E29" s="174"/>
      <c r="F29" s="172">
        <v>14413.403677528358</v>
      </c>
      <c r="G29" s="174"/>
      <c r="H29" s="172"/>
      <c r="I29" s="179"/>
      <c r="J29" s="172"/>
      <c r="K29" s="174"/>
      <c r="P29" s="616"/>
    </row>
    <row r="30" spans="2:16" ht="12.75">
      <c r="B30" s="3">
        <v>15</v>
      </c>
      <c r="C30" s="2"/>
      <c r="D30" s="186" t="s">
        <v>410</v>
      </c>
      <c r="E30" s="174"/>
      <c r="F30" s="173">
        <v>516</v>
      </c>
      <c r="G30" s="174"/>
      <c r="H30" s="173"/>
      <c r="I30" s="179"/>
      <c r="J30" s="173"/>
      <c r="K30" s="174"/>
      <c r="P30" s="616"/>
    </row>
    <row r="31" spans="2:16" ht="12.75">
      <c r="B31" s="3"/>
      <c r="C31" s="2"/>
      <c r="D31" s="186"/>
      <c r="E31" s="177"/>
      <c r="F31" s="174"/>
      <c r="G31" s="174"/>
      <c r="H31" s="174"/>
      <c r="I31" s="179"/>
      <c r="J31" s="174"/>
      <c r="K31" s="177"/>
      <c r="P31" s="616"/>
    </row>
    <row r="32" spans="2:16" ht="12.75">
      <c r="B32" s="3">
        <v>16</v>
      </c>
      <c r="C32" s="2"/>
      <c r="D32" s="186" t="s">
        <v>613</v>
      </c>
      <c r="E32" s="177"/>
      <c r="F32" s="171">
        <v>13231.934044519594</v>
      </c>
      <c r="G32" s="177"/>
      <c r="H32" s="171">
        <v>8253.841793952453</v>
      </c>
      <c r="I32" s="180"/>
      <c r="J32" s="55">
        <v>21485.775838472047</v>
      </c>
      <c r="K32" s="177"/>
      <c r="L32" s="55">
        <v>28929.831993996264</v>
      </c>
      <c r="N32" s="122">
        <v>42161.76603851586</v>
      </c>
      <c r="P32" s="616">
        <v>0.19576603566397946</v>
      </c>
    </row>
    <row r="33" spans="2:16" ht="12.75">
      <c r="B33" s="3">
        <v>17</v>
      </c>
      <c r="C33" s="2"/>
      <c r="D33" s="186" t="s">
        <v>409</v>
      </c>
      <c r="E33" s="177"/>
      <c r="F33" s="172">
        <v>3008.4036959262094</v>
      </c>
      <c r="G33" s="177"/>
      <c r="H33" s="172"/>
      <c r="I33" s="180"/>
      <c r="J33" s="172"/>
      <c r="K33" s="177"/>
      <c r="P33" s="616"/>
    </row>
    <row r="34" spans="2:16" ht="12.75">
      <c r="B34" s="3">
        <v>18</v>
      </c>
      <c r="C34" s="2"/>
      <c r="D34" s="186" t="s">
        <v>410</v>
      </c>
      <c r="E34" s="177"/>
      <c r="F34" s="173">
        <v>144</v>
      </c>
      <c r="G34" s="177"/>
      <c r="H34" s="173"/>
      <c r="I34" s="180"/>
      <c r="J34" s="173"/>
      <c r="K34" s="177"/>
      <c r="P34" s="616"/>
    </row>
    <row r="35" spans="2:16" ht="12.75">
      <c r="B35" s="3"/>
      <c r="C35" s="2"/>
      <c r="D35" s="186"/>
      <c r="E35" s="177"/>
      <c r="F35" s="177"/>
      <c r="G35" s="177"/>
      <c r="H35" s="177"/>
      <c r="I35" s="180"/>
      <c r="J35" s="177"/>
      <c r="K35" s="177"/>
      <c r="P35" s="616"/>
    </row>
    <row r="36" spans="2:16" ht="12.75">
      <c r="B36" s="3">
        <v>19</v>
      </c>
      <c r="C36" s="2"/>
      <c r="D36" s="186" t="s">
        <v>614</v>
      </c>
      <c r="E36" s="177"/>
      <c r="F36" s="171">
        <v>48667.09759725399</v>
      </c>
      <c r="G36" s="177"/>
      <c r="H36" s="171">
        <v>5615.737277440574</v>
      </c>
      <c r="I36" s="180"/>
      <c r="J36" s="55">
        <v>54282.83487469456</v>
      </c>
      <c r="K36" s="177"/>
      <c r="L36" s="55">
        <v>79886.02409632693</v>
      </c>
      <c r="N36" s="122">
        <v>128553.12169358092</v>
      </c>
      <c r="P36" s="616">
        <v>0.043684176653650146</v>
      </c>
    </row>
    <row r="37" spans="2:16" ht="12.75">
      <c r="B37" s="3">
        <v>20</v>
      </c>
      <c r="C37" s="2"/>
      <c r="D37" s="186" t="s">
        <v>409</v>
      </c>
      <c r="E37" s="177"/>
      <c r="F37" s="172">
        <v>8307.321321261565</v>
      </c>
      <c r="G37" s="177"/>
      <c r="H37" s="172"/>
      <c r="I37" s="180"/>
      <c r="J37" s="172"/>
      <c r="K37" s="177"/>
      <c r="P37" s="616"/>
    </row>
    <row r="38" spans="2:16" ht="12.75">
      <c r="B38" s="3">
        <v>21</v>
      </c>
      <c r="C38" s="2"/>
      <c r="D38" s="1" t="s">
        <v>410</v>
      </c>
      <c r="E38" s="177"/>
      <c r="F38" s="173">
        <v>72</v>
      </c>
      <c r="G38" s="177"/>
      <c r="H38" s="173"/>
      <c r="I38" s="180"/>
      <c r="J38" s="173"/>
      <c r="K38" s="177"/>
      <c r="P38" s="616"/>
    </row>
    <row r="39" spans="2:16" ht="12.75">
      <c r="B39" s="3"/>
      <c r="C39" s="2"/>
      <c r="D39" s="1"/>
      <c r="E39" s="177"/>
      <c r="F39" s="177"/>
      <c r="G39" s="177"/>
      <c r="H39" s="177"/>
      <c r="I39" s="177"/>
      <c r="J39" s="177"/>
      <c r="K39" s="177"/>
      <c r="P39" s="616"/>
    </row>
    <row r="40" spans="2:16" ht="13.5" thickBot="1">
      <c r="B40" s="3">
        <v>22</v>
      </c>
      <c r="C40" s="2"/>
      <c r="D40" s="1" t="s">
        <v>570</v>
      </c>
      <c r="E40" s="177"/>
      <c r="F40" s="182">
        <v>770987.5214097345</v>
      </c>
      <c r="G40" s="177"/>
      <c r="H40" s="182">
        <v>286230.47859026515</v>
      </c>
      <c r="I40" s="177"/>
      <c r="J40" s="182">
        <v>1057218</v>
      </c>
      <c r="K40" s="177"/>
      <c r="L40" s="182">
        <v>1068144.312597569</v>
      </c>
      <c r="N40" s="210">
        <v>1839131.8340073037</v>
      </c>
      <c r="P40" s="707">
        <v>0.15563347515256398</v>
      </c>
    </row>
    <row r="41" spans="2:16" ht="13.5" thickTop="1">
      <c r="B41" s="3"/>
      <c r="C41" s="2"/>
      <c r="D41" s="1"/>
      <c r="E41" s="177"/>
      <c r="F41" s="164"/>
      <c r="G41" s="177"/>
      <c r="H41" s="164"/>
      <c r="I41" s="177"/>
      <c r="J41" s="164"/>
      <c r="K41" s="177"/>
      <c r="L41" s="164"/>
      <c r="N41" s="144"/>
      <c r="P41" s="714"/>
    </row>
    <row r="42" spans="2:11" ht="13.5" thickBot="1">
      <c r="B42" s="3"/>
      <c r="C42" s="2"/>
      <c r="D42" s="1"/>
      <c r="E42" s="177"/>
      <c r="F42" s="172"/>
      <c r="G42" s="177"/>
      <c r="H42" s="172"/>
      <c r="I42" s="177"/>
      <c r="J42" s="172"/>
      <c r="K42" s="177"/>
    </row>
    <row r="43" spans="2:14" ht="13.5" thickBot="1">
      <c r="B43" s="3"/>
      <c r="C43" s="2"/>
      <c r="D43" s="658" t="s">
        <v>618</v>
      </c>
      <c r="E43" s="177"/>
      <c r="N43" s="221"/>
    </row>
    <row r="44" spans="2:14" ht="12.75">
      <c r="B44" s="6"/>
      <c r="C44" s="6"/>
      <c r="D44" s="659" t="s">
        <v>619</v>
      </c>
      <c r="E44" s="177"/>
      <c r="H44" s="697" t="s">
        <v>676</v>
      </c>
      <c r="L44" s="701">
        <v>15.5</v>
      </c>
      <c r="N44" s="138"/>
    </row>
    <row r="45" spans="4:14" ht="12.75">
      <c r="D45" s="660" t="s">
        <v>620</v>
      </c>
      <c r="E45" s="177"/>
      <c r="H45" s="697" t="s">
        <v>677</v>
      </c>
      <c r="L45" s="701">
        <v>6.3999974021253525</v>
      </c>
      <c r="N45" s="138"/>
    </row>
    <row r="46" spans="4:14" ht="13.5" thickBot="1">
      <c r="D46" s="661" t="s">
        <v>621</v>
      </c>
      <c r="E46" s="177"/>
      <c r="N46" s="472"/>
    </row>
    <row r="47" spans="4:14" ht="12.75">
      <c r="D47" s="697"/>
      <c r="E47" s="177"/>
      <c r="N47" s="472"/>
    </row>
    <row r="48" spans="1:16" ht="15.75">
      <c r="A48" s="2"/>
      <c r="B48" s="2"/>
      <c r="C48" s="2"/>
      <c r="D48" s="2"/>
      <c r="E48" s="2"/>
      <c r="F48" s="2"/>
      <c r="G48" s="2"/>
      <c r="H48" s="2"/>
      <c r="I48" s="2"/>
      <c r="L48" s="2"/>
      <c r="N48" s="2"/>
      <c r="P48" s="132" t="s">
        <v>727</v>
      </c>
    </row>
    <row r="49" spans="1:16" ht="15.75">
      <c r="A49" s="2"/>
      <c r="B49" s="2"/>
      <c r="C49" s="2"/>
      <c r="D49" s="2"/>
      <c r="E49" s="2"/>
      <c r="F49" s="2"/>
      <c r="G49" s="2"/>
      <c r="H49" s="2"/>
      <c r="I49" s="2"/>
      <c r="L49" s="2"/>
      <c r="N49" s="2"/>
      <c r="P49" s="583" t="s">
        <v>675</v>
      </c>
    </row>
    <row r="50" spans="1:16" ht="12.75">
      <c r="A50" s="80" t="str">
        <f>'Schedule A'!$A$3</f>
        <v>HUGHES NATURAL GAS </v>
      </c>
      <c r="B50" s="461"/>
      <c r="C50" s="461"/>
      <c r="D50" s="461"/>
      <c r="E50" s="461"/>
      <c r="F50" s="461"/>
      <c r="G50" s="461"/>
      <c r="H50" s="461"/>
      <c r="I50" s="461"/>
      <c r="J50" s="461"/>
      <c r="K50" s="461"/>
      <c r="L50" s="461"/>
      <c r="M50" s="461"/>
      <c r="N50" s="461"/>
      <c r="O50" s="461"/>
      <c r="P50" s="461"/>
    </row>
    <row r="51" spans="1:16" ht="12.75">
      <c r="A51" s="80" t="str">
        <f>'Schedule A'!$A$4</f>
        <v>TEST YEAR ENDING DECEMBER 31, 2006</v>
      </c>
      <c r="B51" s="461"/>
      <c r="C51" s="461"/>
      <c r="D51" s="461"/>
      <c r="E51" s="461"/>
      <c r="F51" s="461"/>
      <c r="G51" s="461"/>
      <c r="H51" s="461"/>
      <c r="I51" s="461"/>
      <c r="J51" s="461"/>
      <c r="K51" s="461"/>
      <c r="L51" s="461"/>
      <c r="M51" s="461"/>
      <c r="N51" s="461"/>
      <c r="O51" s="461"/>
      <c r="P51" s="461"/>
    </row>
    <row r="52" spans="1:16" ht="12.75">
      <c r="A52" s="60"/>
      <c r="B52" s="33"/>
      <c r="C52" s="60"/>
      <c r="D52" s="33"/>
      <c r="E52" s="33"/>
      <c r="F52" s="33"/>
      <c r="G52" s="33"/>
      <c r="H52" s="33"/>
      <c r="I52" s="33"/>
      <c r="J52" s="33"/>
      <c r="K52" s="33"/>
      <c r="L52" s="33"/>
      <c r="M52" s="33"/>
      <c r="N52" s="33"/>
      <c r="O52" s="461"/>
      <c r="P52" s="461"/>
    </row>
    <row r="53" spans="1:16" ht="12.75">
      <c r="A53" s="62" t="s">
        <v>732</v>
      </c>
      <c r="B53" s="461"/>
      <c r="C53" s="461"/>
      <c r="D53" s="461"/>
      <c r="E53" s="461"/>
      <c r="F53" s="461"/>
      <c r="G53" s="461"/>
      <c r="H53" s="461"/>
      <c r="I53" s="461"/>
      <c r="J53" s="461"/>
      <c r="K53" s="461"/>
      <c r="L53" s="461"/>
      <c r="M53" s="461"/>
      <c r="N53" s="461"/>
      <c r="O53" s="461"/>
      <c r="P53" s="461"/>
    </row>
    <row r="54" spans="2:11" ht="13.5" thickBot="1">
      <c r="B54" s="58"/>
      <c r="C54" s="6"/>
      <c r="D54" s="6"/>
      <c r="E54" s="58"/>
      <c r="F54" s="33"/>
      <c r="G54" s="33"/>
      <c r="H54" s="33"/>
      <c r="I54" s="33"/>
      <c r="J54" s="33"/>
      <c r="K54" s="58"/>
    </row>
    <row r="55" spans="2:16" ht="12.75">
      <c r="B55" s="119" t="s">
        <v>486</v>
      </c>
      <c r="C55" s="58"/>
      <c r="D55" s="91"/>
      <c r="E55" s="58"/>
      <c r="F55" s="119" t="s">
        <v>484</v>
      </c>
      <c r="G55" s="2"/>
      <c r="H55" s="119"/>
      <c r="I55" s="2"/>
      <c r="J55" s="119" t="s">
        <v>514</v>
      </c>
      <c r="K55" s="58"/>
      <c r="L55" s="119" t="s">
        <v>431</v>
      </c>
      <c r="N55" s="119" t="s">
        <v>615</v>
      </c>
      <c r="P55" s="119"/>
    </row>
    <row r="56" spans="2:16" ht="13.5" thickBot="1">
      <c r="B56" s="97" t="s">
        <v>552</v>
      </c>
      <c r="C56" s="58"/>
      <c r="D56" s="90" t="s">
        <v>553</v>
      </c>
      <c r="E56" s="2"/>
      <c r="F56" s="97" t="s">
        <v>607</v>
      </c>
      <c r="G56" s="2"/>
      <c r="H56" s="97" t="s">
        <v>478</v>
      </c>
      <c r="I56" s="2"/>
      <c r="J56" s="97" t="s">
        <v>595</v>
      </c>
      <c r="K56" s="2"/>
      <c r="L56" s="97" t="s">
        <v>432</v>
      </c>
      <c r="N56" s="97" t="s">
        <v>433</v>
      </c>
      <c r="P56" s="97" t="s">
        <v>434</v>
      </c>
    </row>
    <row r="57" spans="2:16" ht="12.75">
      <c r="B57" s="58"/>
      <c r="C57" s="58"/>
      <c r="D57" s="66" t="s">
        <v>404</v>
      </c>
      <c r="E57" s="2"/>
      <c r="F57" s="3" t="s">
        <v>405</v>
      </c>
      <c r="G57" s="2"/>
      <c r="H57" s="3" t="s">
        <v>551</v>
      </c>
      <c r="I57" s="2"/>
      <c r="J57" s="3" t="s">
        <v>406</v>
      </c>
      <c r="K57" s="2"/>
      <c r="L57" s="3" t="s">
        <v>550</v>
      </c>
      <c r="N57" s="3" t="s">
        <v>555</v>
      </c>
      <c r="P57" s="3" t="s">
        <v>481</v>
      </c>
    </row>
    <row r="58" spans="2:14" ht="12.75">
      <c r="B58" s="2"/>
      <c r="C58" s="2"/>
      <c r="D58" s="2"/>
      <c r="E58" s="2"/>
      <c r="F58" s="2"/>
      <c r="G58" s="2"/>
      <c r="H58" s="2"/>
      <c r="I58" s="2"/>
      <c r="J58" s="2"/>
      <c r="K58" s="2"/>
      <c r="M58" s="139"/>
      <c r="N58" s="141"/>
    </row>
    <row r="59" spans="2:16" ht="12.75">
      <c r="B59" s="3">
        <v>1</v>
      </c>
      <c r="C59" s="2"/>
      <c r="D59" s="186" t="s">
        <v>608</v>
      </c>
      <c r="E59" s="2"/>
      <c r="F59" s="55">
        <f>'Schedule D-1'!O12</f>
        <v>52075.35480649887</v>
      </c>
      <c r="G59" s="2"/>
      <c r="H59" s="55">
        <f>J59-F59</f>
        <v>0</v>
      </c>
      <c r="I59" s="6"/>
      <c r="J59" s="55">
        <f>+F59</f>
        <v>52075.35480649887</v>
      </c>
      <c r="K59" s="122"/>
      <c r="L59" s="55">
        <f>(-'Schedule D'!$G$15/'Schedule D-1'!$E$41)*F60</f>
        <v>39119.50263876806</v>
      </c>
      <c r="M59" s="140"/>
      <c r="N59" s="122">
        <f>L59+F59</f>
        <v>91194.85744526694</v>
      </c>
      <c r="P59" s="616">
        <f>H59/N59</f>
        <v>0</v>
      </c>
    </row>
    <row r="60" spans="2:16" ht="12.75">
      <c r="B60" s="3">
        <v>2</v>
      </c>
      <c r="C60" s="2"/>
      <c r="D60" s="186" t="s">
        <v>409</v>
      </c>
      <c r="E60" s="2"/>
      <c r="F60" s="181">
        <f>'Schedule D-1'!O13</f>
        <v>4068.024188515449</v>
      </c>
      <c r="G60" s="2"/>
      <c r="H60" s="181"/>
      <c r="I60" s="144"/>
      <c r="J60" s="181"/>
      <c r="K60" s="122"/>
      <c r="M60" s="123"/>
      <c r="N60" s="123"/>
      <c r="P60" s="616"/>
    </row>
    <row r="61" spans="2:16" ht="12.75">
      <c r="B61" s="3">
        <v>3</v>
      </c>
      <c r="C61" s="2"/>
      <c r="D61" s="186" t="s">
        <v>410</v>
      </c>
      <c r="E61" s="2"/>
      <c r="F61" s="41">
        <f>'Schedule D-1'!O14</f>
        <v>1680</v>
      </c>
      <c r="G61" s="2"/>
      <c r="H61" s="41"/>
      <c r="I61" s="144"/>
      <c r="J61" s="41"/>
      <c r="K61" s="122"/>
      <c r="N61" s="138"/>
      <c r="P61" s="616"/>
    </row>
    <row r="62" spans="2:16" ht="8.25" customHeight="1">
      <c r="B62" s="3"/>
      <c r="C62" s="2"/>
      <c r="D62" s="186"/>
      <c r="E62" s="2"/>
      <c r="F62" s="2"/>
      <c r="G62" s="2"/>
      <c r="H62" s="2"/>
      <c r="I62" s="144"/>
      <c r="J62" s="2"/>
      <c r="K62" s="122"/>
      <c r="N62" s="138"/>
      <c r="P62" s="616"/>
    </row>
    <row r="63" spans="2:20" ht="12.75">
      <c r="B63" s="3">
        <v>4</v>
      </c>
      <c r="C63" s="2"/>
      <c r="D63" s="186" t="s">
        <v>609</v>
      </c>
      <c r="E63" s="2"/>
      <c r="F63" s="55">
        <f>'Schedule D-1'!O16</f>
        <v>483559.9789283523</v>
      </c>
      <c r="G63" s="2"/>
      <c r="H63" s="55">
        <f>J63-F63</f>
        <v>163841.92521684448</v>
      </c>
      <c r="I63" s="144"/>
      <c r="J63" s="55">
        <f>(F64*F108)+(F107*F65)</f>
        <v>647401.9041451968</v>
      </c>
      <c r="K63" s="122"/>
      <c r="L63" s="55">
        <f>(-'Schedule D'!$G$15/'Schedule D-1'!$E$41)*F64</f>
        <v>703662.9535583905</v>
      </c>
      <c r="N63" s="122">
        <f>L63+F63</f>
        <v>1187222.9324867427</v>
      </c>
      <c r="P63" s="616">
        <f>H63/N63</f>
        <v>0.13800434672674589</v>
      </c>
      <c r="Q63" s="615">
        <f>0.65*F64</f>
        <v>47562.89113248132</v>
      </c>
      <c r="R63" s="615">
        <f>0.75*F65</f>
        <v>12330</v>
      </c>
      <c r="S63" s="615">
        <f>1*F65</f>
        <v>16440</v>
      </c>
      <c r="T63">
        <f>3*F65</f>
        <v>49320</v>
      </c>
    </row>
    <row r="64" spans="2:19" ht="12.75">
      <c r="B64" s="3">
        <v>5</v>
      </c>
      <c r="C64" s="2"/>
      <c r="D64" s="186" t="s">
        <v>409</v>
      </c>
      <c r="E64" s="2"/>
      <c r="F64" s="181">
        <f>'Schedule D-1'!O17</f>
        <v>73173.67866535588</v>
      </c>
      <c r="G64" s="2"/>
      <c r="H64" s="181"/>
      <c r="I64" s="144"/>
      <c r="J64" s="181"/>
      <c r="K64" s="122"/>
      <c r="N64" s="138"/>
      <c r="P64" s="616"/>
      <c r="Q64" s="615"/>
      <c r="R64" s="615"/>
      <c r="S64" s="615"/>
    </row>
    <row r="65" spans="2:19" ht="12.75">
      <c r="B65" s="3">
        <v>6</v>
      </c>
      <c r="C65" s="2"/>
      <c r="D65" s="186" t="s">
        <v>410</v>
      </c>
      <c r="E65" s="2"/>
      <c r="F65" s="41">
        <f>'Schedule D-1'!O18</f>
        <v>16440</v>
      </c>
      <c r="G65" s="2"/>
      <c r="H65" s="41"/>
      <c r="I65" s="144"/>
      <c r="J65" s="41"/>
      <c r="K65" s="122"/>
      <c r="N65" s="138"/>
      <c r="P65" s="616"/>
      <c r="Q65" s="615"/>
      <c r="R65" s="615"/>
      <c r="S65" s="615"/>
    </row>
    <row r="66" spans="2:19" ht="11.25" customHeight="1">
      <c r="B66" s="3"/>
      <c r="C66" s="2"/>
      <c r="D66" s="186"/>
      <c r="E66" s="2"/>
      <c r="F66" s="2"/>
      <c r="G66" s="2"/>
      <c r="H66" s="2"/>
      <c r="I66" s="144"/>
      <c r="J66" s="2"/>
      <c r="K66" s="122"/>
      <c r="N66" s="138"/>
      <c r="P66" s="616"/>
      <c r="Q66" s="615"/>
      <c r="R66" s="615"/>
      <c r="S66" s="615"/>
    </row>
    <row r="67" spans="2:20" ht="12.75">
      <c r="B67" s="3">
        <v>7</v>
      </c>
      <c r="C67" s="2"/>
      <c r="D67" s="186" t="s">
        <v>610</v>
      </c>
      <c r="E67" s="2"/>
      <c r="F67" s="55">
        <f>'Schedule D-1'!O20</f>
        <v>13899.215781888624</v>
      </c>
      <c r="G67" s="2"/>
      <c r="H67" s="55">
        <f>J67-F67</f>
        <v>17736.147837431876</v>
      </c>
      <c r="I67" s="144"/>
      <c r="J67" s="55">
        <f>F68*F108+F107*F69</f>
        <v>31635.363619320502</v>
      </c>
      <c r="K67" s="122"/>
      <c r="L67" s="55">
        <f>(-'Schedule D'!$G$15/'Schedule D-1'!$E$41)*F68</f>
        <v>36699.9973443105</v>
      </c>
      <c r="N67" s="122">
        <f>L67+F67</f>
        <v>50599.21312619912</v>
      </c>
      <c r="P67" s="616">
        <f>H67/N67</f>
        <v>0.3505222066042071</v>
      </c>
      <c r="Q67" s="615">
        <f>0.65*F68</f>
        <v>2480.673409652433</v>
      </c>
      <c r="R67" s="615">
        <f>0.75*F69</f>
        <v>540</v>
      </c>
      <c r="S67" s="615">
        <f>1*F69</f>
        <v>720</v>
      </c>
      <c r="T67">
        <f>3*F69</f>
        <v>2160</v>
      </c>
    </row>
    <row r="68" spans="2:16" ht="12.75">
      <c r="B68" s="3">
        <v>8</v>
      </c>
      <c r="C68" s="2"/>
      <c r="D68" s="186" t="s">
        <v>409</v>
      </c>
      <c r="E68" s="2"/>
      <c r="F68" s="181">
        <f>'Schedule D-1'!O21</f>
        <v>3816.420630234512</v>
      </c>
      <c r="G68" s="2"/>
      <c r="H68" s="181"/>
      <c r="I68" s="144"/>
      <c r="J68" s="181"/>
      <c r="K68" s="122"/>
      <c r="P68" s="616"/>
    </row>
    <row r="69" spans="2:19" ht="12.75">
      <c r="B69" s="3">
        <v>9</v>
      </c>
      <c r="C69" s="2"/>
      <c r="D69" s="186" t="s">
        <v>410</v>
      </c>
      <c r="E69" s="2"/>
      <c r="F69" s="41">
        <f>'Schedule D-1'!O22</f>
        <v>720</v>
      </c>
      <c r="G69" s="2"/>
      <c r="H69" s="41"/>
      <c r="I69" s="144"/>
      <c r="J69" s="41"/>
      <c r="K69" s="122"/>
      <c r="P69" s="616"/>
      <c r="Q69" s="615"/>
      <c r="R69" s="615"/>
      <c r="S69" s="615"/>
    </row>
    <row r="70" spans="2:19" ht="7.5" customHeight="1">
      <c r="B70" s="3"/>
      <c r="C70" s="2"/>
      <c r="D70" s="186"/>
      <c r="E70" s="2"/>
      <c r="F70" s="2"/>
      <c r="G70" s="2"/>
      <c r="H70" s="2"/>
      <c r="I70" s="144"/>
      <c r="J70" s="2"/>
      <c r="K70" s="122"/>
      <c r="P70" s="616"/>
      <c r="Q70" s="615"/>
      <c r="R70" s="615"/>
      <c r="S70" s="615"/>
    </row>
    <row r="71" spans="2:20" ht="12.75">
      <c r="B71" s="3">
        <v>10</v>
      </c>
      <c r="C71" s="2"/>
      <c r="D71" s="186" t="s">
        <v>611</v>
      </c>
      <c r="E71" s="2"/>
      <c r="F71" s="55">
        <f>'Schedule D-1'!O24</f>
        <v>59310.15671503972</v>
      </c>
      <c r="G71" s="2"/>
      <c r="H71" s="171">
        <f>+J71-F71</f>
        <v>6665.141653937375</v>
      </c>
      <c r="I71" s="144"/>
      <c r="J71" s="55">
        <f>F72*F108+F107*F73</f>
        <v>65975.29836897709</v>
      </c>
      <c r="K71" s="122"/>
      <c r="L71" s="55">
        <f>(-'Schedule D'!$G$15/'Schedule D-1'!$E$41)*F72</f>
        <v>41241.81649399839</v>
      </c>
      <c r="N71" s="122">
        <f>L71+F71</f>
        <v>100551.97320903811</v>
      </c>
      <c r="P71" s="616">
        <f>H71/N71</f>
        <v>0.06628553812744352</v>
      </c>
      <c r="Q71" s="615">
        <f>0.65*F72</f>
        <v>2787.669889526229</v>
      </c>
      <c r="R71" s="615">
        <f>0.75*F73</f>
        <v>2079</v>
      </c>
      <c r="S71" s="615">
        <f>1*F73</f>
        <v>2772</v>
      </c>
      <c r="T71">
        <f>3*F73</f>
        <v>8316</v>
      </c>
    </row>
    <row r="72" spans="2:19" ht="12.75">
      <c r="B72" s="3">
        <v>11</v>
      </c>
      <c r="C72" s="2"/>
      <c r="D72" s="186" t="s">
        <v>409</v>
      </c>
      <c r="E72" s="2"/>
      <c r="F72" s="181">
        <f>'Schedule D-1'!O25</f>
        <v>4288.722906963429</v>
      </c>
      <c r="G72" s="2"/>
      <c r="H72" s="181"/>
      <c r="I72" s="144"/>
      <c r="J72" s="181"/>
      <c r="K72" s="122"/>
      <c r="P72" s="616"/>
      <c r="Q72" s="615"/>
      <c r="R72" s="615"/>
      <c r="S72" s="615"/>
    </row>
    <row r="73" spans="2:19" ht="12.75">
      <c r="B73" s="3">
        <v>12</v>
      </c>
      <c r="C73" s="2"/>
      <c r="D73" s="186" t="s">
        <v>410</v>
      </c>
      <c r="E73" s="2"/>
      <c r="F73" s="41">
        <f>'Schedule D-1'!O26</f>
        <v>2772</v>
      </c>
      <c r="G73" s="2"/>
      <c r="H73" s="41"/>
      <c r="I73" s="144"/>
      <c r="J73" s="41"/>
      <c r="K73" s="122"/>
      <c r="P73" s="616"/>
      <c r="Q73" s="615"/>
      <c r="R73" s="615"/>
      <c r="S73" s="615"/>
    </row>
    <row r="74" spans="2:19" ht="6.75" customHeight="1">
      <c r="B74" s="3"/>
      <c r="C74" s="2"/>
      <c r="D74" s="186"/>
      <c r="E74" s="2"/>
      <c r="F74" s="105"/>
      <c r="G74" s="2"/>
      <c r="H74" s="105"/>
      <c r="I74" s="144"/>
      <c r="J74" s="105"/>
      <c r="K74" s="122"/>
      <c r="P74" s="616"/>
      <c r="Q74" s="615"/>
      <c r="R74" s="615"/>
      <c r="S74" s="615"/>
    </row>
    <row r="75" spans="2:19" ht="12.75">
      <c r="B75" s="3">
        <v>13</v>
      </c>
      <c r="C75" s="2"/>
      <c r="D75" s="186" t="s">
        <v>612</v>
      </c>
      <c r="E75" s="174"/>
      <c r="F75" s="171">
        <f>'Schedule D-1'!O28</f>
        <v>100243.7835361815</v>
      </c>
      <c r="G75" s="174"/>
      <c r="H75" s="171">
        <f>+J75-F75</f>
        <v>0</v>
      </c>
      <c r="I75" s="178"/>
      <c r="J75" s="171">
        <f>F75</f>
        <v>100243.7835361815</v>
      </c>
      <c r="K75" s="174"/>
      <c r="L75" s="55">
        <f>(-'Schedule D'!$G$15/'Schedule D-1'!$E$41)*F76</f>
        <v>138604.1864717783</v>
      </c>
      <c r="N75" s="122">
        <f>L75+F75</f>
        <v>238847.97000795978</v>
      </c>
      <c r="P75" s="616">
        <f>H75/N75</f>
        <v>0</v>
      </c>
      <c r="Q75" s="615"/>
      <c r="R75" s="615"/>
      <c r="S75" s="615"/>
    </row>
    <row r="76" spans="2:19" ht="12.75">
      <c r="B76" s="3">
        <v>14</v>
      </c>
      <c r="C76" s="2"/>
      <c r="D76" s="186" t="s">
        <v>409</v>
      </c>
      <c r="E76" s="174"/>
      <c r="F76" s="172">
        <f>'Schedule D-1'!O29</f>
        <v>14413.403677528358</v>
      </c>
      <c r="G76" s="174"/>
      <c r="H76" s="172"/>
      <c r="I76" s="179"/>
      <c r="J76" s="172"/>
      <c r="K76" s="174"/>
      <c r="P76" s="616"/>
      <c r="Q76" s="615"/>
      <c r="R76" s="615"/>
      <c r="S76" s="615"/>
    </row>
    <row r="77" spans="2:22" ht="12.75">
      <c r="B77" s="3">
        <v>15</v>
      </c>
      <c r="C77" s="2"/>
      <c r="D77" s="186" t="s">
        <v>410</v>
      </c>
      <c r="E77" s="174"/>
      <c r="F77" s="173">
        <f>'Schedule D-1'!O30</f>
        <v>516</v>
      </c>
      <c r="G77" s="174"/>
      <c r="H77" s="173"/>
      <c r="I77" s="179"/>
      <c r="J77" s="173"/>
      <c r="K77" s="174"/>
      <c r="P77" s="616"/>
      <c r="Q77" s="615"/>
      <c r="R77" s="615"/>
      <c r="S77" s="615"/>
      <c r="V77">
        <f>65*174</f>
        <v>11310</v>
      </c>
    </row>
    <row r="78" spans="2:22" ht="7.5" customHeight="1">
      <c r="B78" s="3"/>
      <c r="C78" s="2"/>
      <c r="D78" s="186"/>
      <c r="E78" s="177"/>
      <c r="F78" s="174"/>
      <c r="G78" s="174"/>
      <c r="H78" s="174"/>
      <c r="I78" s="179"/>
      <c r="J78" s="174"/>
      <c r="K78" s="177"/>
      <c r="P78" s="616"/>
      <c r="Q78" s="615"/>
      <c r="R78" s="615"/>
      <c r="S78" s="615"/>
      <c r="V78">
        <f>40*174</f>
        <v>6960</v>
      </c>
    </row>
    <row r="79" spans="2:20" ht="12.75">
      <c r="B79" s="3">
        <v>16</v>
      </c>
      <c r="C79" s="2"/>
      <c r="D79" s="186" t="s">
        <v>613</v>
      </c>
      <c r="E79" s="177"/>
      <c r="F79" s="171">
        <f>'Schedule D-1'!O32</f>
        <v>13231.934044519594</v>
      </c>
      <c r="G79" s="177"/>
      <c r="H79" s="171">
        <f>+J79-F79</f>
        <v>5140.362205794865</v>
      </c>
      <c r="I79" s="180"/>
      <c r="J79" s="55">
        <f>F80*F108+F107*F81</f>
        <v>18372.29625031446</v>
      </c>
      <c r="K79" s="177"/>
      <c r="L79" s="55">
        <f>(-'Schedule D'!$G$15/'Schedule D-1'!$E$41)*F80</f>
        <v>28929.831993996264</v>
      </c>
      <c r="N79" s="122">
        <f>L79+F79</f>
        <v>42161.76603851586</v>
      </c>
      <c r="P79" s="616">
        <f>H79/N79</f>
        <v>0.12191999265635628</v>
      </c>
      <c r="Q79" s="615">
        <f>0.65*F80</f>
        <v>1955.4624023520362</v>
      </c>
      <c r="R79" s="615">
        <f>0.75*F81</f>
        <v>108</v>
      </c>
      <c r="S79" s="615">
        <f>1*F81</f>
        <v>144</v>
      </c>
      <c r="T79">
        <f>3*F81</f>
        <v>432</v>
      </c>
    </row>
    <row r="80" spans="2:19" ht="12.75">
      <c r="B80" s="3">
        <v>17</v>
      </c>
      <c r="C80" s="2"/>
      <c r="D80" s="186" t="s">
        <v>409</v>
      </c>
      <c r="E80" s="177"/>
      <c r="F80" s="172">
        <f>'Schedule D-1'!O33</f>
        <v>3008.4036959262094</v>
      </c>
      <c r="G80" s="177"/>
      <c r="H80" s="172"/>
      <c r="I80" s="180"/>
      <c r="J80" s="172"/>
      <c r="K80" s="177"/>
      <c r="P80" s="616"/>
      <c r="Q80" s="615"/>
      <c r="R80" s="615"/>
      <c r="S80" s="615"/>
    </row>
    <row r="81" spans="2:19" ht="12.75">
      <c r="B81" s="3">
        <v>18</v>
      </c>
      <c r="C81" s="2"/>
      <c r="D81" s="186" t="s">
        <v>410</v>
      </c>
      <c r="E81" s="177"/>
      <c r="F81" s="173">
        <f>'Schedule D-1'!O34</f>
        <v>144</v>
      </c>
      <c r="G81" s="177"/>
      <c r="H81" s="173"/>
      <c r="I81" s="180"/>
      <c r="J81" s="173"/>
      <c r="K81" s="177"/>
      <c r="P81" s="616"/>
      <c r="Q81" s="615"/>
      <c r="R81" s="615"/>
      <c r="S81" s="615"/>
    </row>
    <row r="82" spans="2:19" ht="8.25" customHeight="1">
      <c r="B82" s="3"/>
      <c r="C82" s="2"/>
      <c r="D82" s="186"/>
      <c r="E82" s="177"/>
      <c r="F82" s="177"/>
      <c r="G82" s="177"/>
      <c r="H82" s="177"/>
      <c r="I82" s="180"/>
      <c r="J82" s="177"/>
      <c r="K82" s="177"/>
      <c r="P82" s="616"/>
      <c r="Q82" s="615"/>
      <c r="R82" s="615"/>
      <c r="S82" s="615"/>
    </row>
    <row r="83" spans="2:20" ht="12.75">
      <c r="B83" s="3">
        <v>19</v>
      </c>
      <c r="C83" s="2"/>
      <c r="D83" s="186" t="s">
        <v>614</v>
      </c>
      <c r="E83" s="177"/>
      <c r="F83" s="171">
        <f>'Schedule D-1'!O36</f>
        <v>48667.09759725399</v>
      </c>
      <c r="G83" s="177"/>
      <c r="H83" s="171">
        <f>+J83-F83</f>
        <v>-2981.737656205638</v>
      </c>
      <c r="I83" s="180"/>
      <c r="J83" s="55">
        <f>F84*F108+F107*F85</f>
        <v>45685.35994104835</v>
      </c>
      <c r="K83" s="177"/>
      <c r="L83" s="55">
        <f>(-'Schedule D'!$G$15/'Schedule D-1'!$E$41)*F84</f>
        <v>79886.02409632693</v>
      </c>
      <c r="N83" s="122">
        <f>L83+F83</f>
        <v>128553.12169358092</v>
      </c>
      <c r="P83" s="616">
        <f>H83/N83</f>
        <v>-0.023194595486470602</v>
      </c>
      <c r="Q83" s="615">
        <f>0.65*F84</f>
        <v>5399.758858820017</v>
      </c>
      <c r="R83" s="615">
        <f>0.75*F85</f>
        <v>54</v>
      </c>
      <c r="S83" s="615">
        <f>1*F85</f>
        <v>72</v>
      </c>
      <c r="T83">
        <f>3*F85</f>
        <v>216</v>
      </c>
    </row>
    <row r="84" spans="2:19" ht="12.75">
      <c r="B84" s="3">
        <v>20</v>
      </c>
      <c r="C84" s="2"/>
      <c r="D84" s="186" t="s">
        <v>409</v>
      </c>
      <c r="E84" s="177"/>
      <c r="F84" s="172">
        <f>'Schedule D-1'!O37</f>
        <v>8307.321321261565</v>
      </c>
      <c r="G84" s="177"/>
      <c r="H84" s="172"/>
      <c r="I84" s="180"/>
      <c r="J84" s="172"/>
      <c r="K84" s="177"/>
      <c r="P84" s="616"/>
      <c r="Q84" s="615"/>
      <c r="R84" s="615"/>
      <c r="S84" s="615"/>
    </row>
    <row r="85" spans="2:19" ht="12.75">
      <c r="B85" s="3">
        <v>21</v>
      </c>
      <c r="C85" s="2"/>
      <c r="D85" s="1" t="s">
        <v>410</v>
      </c>
      <c r="E85" s="177"/>
      <c r="F85" s="173">
        <f>'Schedule D-1'!O38</f>
        <v>72</v>
      </c>
      <c r="G85" s="177"/>
      <c r="H85" s="173"/>
      <c r="I85" s="180"/>
      <c r="J85" s="173"/>
      <c r="K85" s="177"/>
      <c r="P85" s="616"/>
      <c r="Q85" s="615"/>
      <c r="R85" s="615"/>
      <c r="S85" s="615"/>
    </row>
    <row r="86" spans="2:19" ht="9.75" customHeight="1">
      <c r="B86" s="3"/>
      <c r="C86" s="2"/>
      <c r="D86" s="1"/>
      <c r="E86" s="177"/>
      <c r="F86" s="177"/>
      <c r="G86" s="177"/>
      <c r="H86" s="177"/>
      <c r="I86" s="177"/>
      <c r="J86" s="177"/>
      <c r="K86" s="177"/>
      <c r="P86" s="616"/>
      <c r="Q86" s="615"/>
      <c r="R86" s="615"/>
      <c r="S86" s="615"/>
    </row>
    <row r="87" spans="2:22" ht="13.5" thickBot="1">
      <c r="B87" s="3">
        <v>22</v>
      </c>
      <c r="C87" s="2"/>
      <c r="D87" s="1" t="s">
        <v>570</v>
      </c>
      <c r="E87" s="177"/>
      <c r="F87" s="182">
        <f>'Schedule D-1'!O40</f>
        <v>770987.5214097345</v>
      </c>
      <c r="G87" s="177"/>
      <c r="H87" s="182">
        <f>H59+H63+H67+H71+H75+H79+H83</f>
        <v>190401.83925780296</v>
      </c>
      <c r="I87" s="177"/>
      <c r="J87" s="182">
        <f>J59+J63+J67+J71+J75+J79+J83</f>
        <v>961389.3606675377</v>
      </c>
      <c r="K87" s="177"/>
      <c r="L87" s="182">
        <f>L59+L63+L67+L71+L75+L79+L83</f>
        <v>1068144.312597569</v>
      </c>
      <c r="N87" s="210">
        <f>L87+F87</f>
        <v>1839131.8340073037</v>
      </c>
      <c r="P87" s="707">
        <f>H87/N87</f>
        <v>0.10352810806549653</v>
      </c>
      <c r="Q87" s="615">
        <f>+Q79+Q67+Q63</f>
        <v>51999.02694448579</v>
      </c>
      <c r="R87" s="615">
        <f>+R79+R67+R63</f>
        <v>12978</v>
      </c>
      <c r="S87" s="615">
        <f>+S79+S67+S63</f>
        <v>17304</v>
      </c>
      <c r="T87" s="615">
        <f>+T79+T67+T63</f>
        <v>51912</v>
      </c>
      <c r="V87" s="615">
        <f>+T87+Q87</f>
        <v>103911.02694448578</v>
      </c>
    </row>
    <row r="88" spans="2:22" ht="13.5" thickTop="1">
      <c r="B88" s="3"/>
      <c r="C88" s="2"/>
      <c r="D88" s="1"/>
      <c r="E88" s="177"/>
      <c r="F88" s="164"/>
      <c r="G88" s="177"/>
      <c r="H88" s="164"/>
      <c r="I88" s="177"/>
      <c r="J88" s="164"/>
      <c r="K88" s="177"/>
      <c r="L88" s="164"/>
      <c r="N88" s="144"/>
      <c r="P88" s="714"/>
      <c r="Q88" s="615"/>
      <c r="R88" s="615"/>
      <c r="S88" s="615"/>
      <c r="T88" s="615"/>
      <c r="V88" s="615"/>
    </row>
    <row r="89" spans="2:19" ht="13.5" thickBot="1">
      <c r="B89" s="3"/>
      <c r="C89" s="2"/>
      <c r="D89" s="1"/>
      <c r="E89" s="177"/>
      <c r="F89" s="172"/>
      <c r="G89" s="177"/>
      <c r="H89" s="172"/>
      <c r="I89" s="177"/>
      <c r="J89" s="172"/>
      <c r="K89" s="177"/>
      <c r="Q89" s="615"/>
      <c r="S89" s="615"/>
    </row>
    <row r="90" spans="2:19" ht="13.5" thickBot="1">
      <c r="B90" s="3"/>
      <c r="C90" s="2"/>
      <c r="D90" s="658" t="s">
        <v>618</v>
      </c>
      <c r="E90" s="177"/>
      <c r="N90" s="221"/>
      <c r="Q90" s="472">
        <f>+Q87/((N87+H87)+(0.65*F97))</f>
        <v>0.02562116984283879</v>
      </c>
      <c r="R90" s="472">
        <f>+R87/(N87+H87)</f>
        <v>0.00639457239412098</v>
      </c>
      <c r="S90" s="472">
        <f>+S87/(N87+H87)</f>
        <v>0.00852609652549464</v>
      </c>
    </row>
    <row r="91" spans="2:19" ht="12.75">
      <c r="B91" s="6"/>
      <c r="C91" s="6"/>
      <c r="D91" s="659" t="s">
        <v>619</v>
      </c>
      <c r="E91" s="177"/>
      <c r="H91" s="697" t="s">
        <v>733</v>
      </c>
      <c r="L91" s="701">
        <f>F107</f>
        <v>15.5</v>
      </c>
      <c r="N91" s="138"/>
      <c r="S91" s="615"/>
    </row>
    <row r="92" spans="4:19" ht="12.75">
      <c r="D92" s="660" t="s">
        <v>620</v>
      </c>
      <c r="E92" s="177"/>
      <c r="H92" s="697" t="s">
        <v>734</v>
      </c>
      <c r="L92" s="701">
        <f>F108</f>
        <v>5.3650699446256604</v>
      </c>
      <c r="N92" s="138"/>
      <c r="R92" t="s">
        <v>8</v>
      </c>
      <c r="S92" s="615"/>
    </row>
    <row r="93" spans="4:19" ht="13.5" thickBot="1">
      <c r="D93" s="661" t="s">
        <v>621</v>
      </c>
      <c r="E93" s="177"/>
      <c r="N93" s="472"/>
      <c r="R93" t="s">
        <v>9</v>
      </c>
      <c r="S93" s="615"/>
    </row>
    <row r="94" spans="4:5" ht="12.75">
      <c r="D94" s="177"/>
      <c r="E94" s="177"/>
    </row>
    <row r="95" spans="4:5" ht="12.75">
      <c r="D95" s="177"/>
      <c r="E95" s="177"/>
    </row>
    <row r="96" spans="4:16" ht="12.75">
      <c r="D96" s="697" t="s">
        <v>660</v>
      </c>
      <c r="E96" s="177"/>
      <c r="J96" s="55">
        <f>'Schedule A-1'!K42</f>
        <v>984834.3606675377</v>
      </c>
      <c r="K96" s="55"/>
      <c r="L96" s="55"/>
      <c r="M96" s="55"/>
      <c r="N96" s="55"/>
      <c r="O96" s="55"/>
      <c r="P96" s="55"/>
    </row>
    <row r="97" spans="4:16" ht="12.75">
      <c r="D97" s="697" t="s">
        <v>661</v>
      </c>
      <c r="E97" s="177"/>
      <c r="F97" s="656"/>
      <c r="G97" s="177"/>
      <c r="H97" s="177"/>
      <c r="I97" s="177"/>
      <c r="J97" s="698">
        <f>'Schedule A-1'!U16</f>
        <v>23445</v>
      </c>
      <c r="K97" s="55"/>
      <c r="L97" s="55"/>
      <c r="M97" s="55"/>
      <c r="N97" s="55"/>
      <c r="O97" s="55"/>
      <c r="P97" s="55"/>
    </row>
    <row r="98" spans="4:16" ht="12.75">
      <c r="D98" s="697" t="s">
        <v>659</v>
      </c>
      <c r="J98" s="55">
        <f>J96-J97</f>
        <v>961389.3606675377</v>
      </c>
      <c r="K98" s="55"/>
      <c r="L98" s="55"/>
      <c r="M98" s="55"/>
      <c r="N98" s="55"/>
      <c r="O98" s="55"/>
      <c r="P98" s="55"/>
    </row>
    <row r="99" spans="10:16" ht="12.75">
      <c r="J99" s="55"/>
      <c r="K99" s="55"/>
      <c r="L99" s="55"/>
      <c r="M99" s="55"/>
      <c r="N99" s="55"/>
      <c r="O99" s="55"/>
      <c r="P99" s="55"/>
    </row>
    <row r="100" spans="4:16" ht="12.75">
      <c r="D100" s="697" t="s">
        <v>662</v>
      </c>
      <c r="J100" s="55">
        <f>IF(J98&gt;=1057218,1057218,J98)</f>
        <v>961389.3606675377</v>
      </c>
      <c r="K100" s="55"/>
      <c r="L100" s="55"/>
      <c r="M100" s="55"/>
      <c r="N100" s="55"/>
      <c r="O100" s="55"/>
      <c r="P100" s="55"/>
    </row>
    <row r="101" spans="4:16" ht="12.75">
      <c r="D101" s="697" t="s">
        <v>663</v>
      </c>
      <c r="J101" s="698">
        <f>J59+J75</f>
        <v>152319.13834268035</v>
      </c>
      <c r="K101" s="55"/>
      <c r="L101" s="55"/>
      <c r="M101" s="55"/>
      <c r="N101" s="55"/>
      <c r="O101" s="55"/>
      <c r="P101" s="55"/>
    </row>
    <row r="102" spans="10:16" ht="12.75">
      <c r="J102" s="55">
        <f>J100-J101</f>
        <v>809070.2223248573</v>
      </c>
      <c r="K102" s="55"/>
      <c r="L102" s="55"/>
      <c r="M102" s="55"/>
      <c r="N102" s="55"/>
      <c r="O102" s="55"/>
      <c r="P102" s="55"/>
    </row>
    <row r="103" spans="10:16" ht="12.75">
      <c r="J103" s="55"/>
      <c r="K103" s="55"/>
      <c r="L103" s="55"/>
      <c r="M103" s="55"/>
      <c r="N103" s="55"/>
      <c r="O103" s="55"/>
      <c r="P103" s="55"/>
    </row>
    <row r="104" spans="4:16" ht="12.75">
      <c r="D104" s="697" t="s">
        <v>665</v>
      </c>
      <c r="F104" s="699">
        <f>F64+F68+F72+F80+F84</f>
        <v>92594.54721974161</v>
      </c>
      <c r="K104" s="55"/>
      <c r="L104" s="55"/>
      <c r="M104" s="55"/>
      <c r="N104" s="55"/>
      <c r="O104" s="55"/>
      <c r="P104" s="55"/>
    </row>
    <row r="105" spans="4:16" ht="12.75">
      <c r="D105" s="697" t="s">
        <v>666</v>
      </c>
      <c r="F105" s="699">
        <f>F65+F69+F73+F81+F85</f>
        <v>20148</v>
      </c>
      <c r="J105" s="55"/>
      <c r="K105" s="55"/>
      <c r="L105" s="55"/>
      <c r="M105" s="55"/>
      <c r="N105" s="55"/>
      <c r="O105" s="55"/>
      <c r="P105" s="55"/>
    </row>
    <row r="106" spans="4:16" ht="12.75">
      <c r="D106" s="697"/>
      <c r="J106" s="55"/>
      <c r="K106" s="55"/>
      <c r="L106" s="55"/>
      <c r="M106" s="55"/>
      <c r="N106" s="55"/>
      <c r="O106" s="55"/>
      <c r="P106" s="55"/>
    </row>
    <row r="107" spans="4:16" ht="12.75">
      <c r="D107" s="697" t="s">
        <v>639</v>
      </c>
      <c r="F107" s="702">
        <v>15.5</v>
      </c>
      <c r="J107" s="55">
        <f>F105*F107</f>
        <v>312294</v>
      </c>
      <c r="K107" s="55"/>
      <c r="L107" s="55"/>
      <c r="M107" s="55"/>
      <c r="N107" s="35">
        <f>J107/J109</f>
        <v>0.3859912173045073</v>
      </c>
      <c r="O107" s="55"/>
      <c r="P107" s="55"/>
    </row>
    <row r="108" spans="4:16" ht="12.75">
      <c r="D108" s="697" t="s">
        <v>664</v>
      </c>
      <c r="F108" s="701">
        <f>(J102-J107)/F104</f>
        <v>5.3650699446256604</v>
      </c>
      <c r="J108" s="700">
        <f>J102-J107</f>
        <v>496776.22232485726</v>
      </c>
      <c r="K108" s="55"/>
      <c r="L108" s="55"/>
      <c r="M108" s="55"/>
      <c r="N108" s="35">
        <f>J108/J109</f>
        <v>0.6140087826954927</v>
      </c>
      <c r="O108" s="55"/>
      <c r="P108" s="55"/>
    </row>
    <row r="109" spans="10:16" ht="12.75">
      <c r="J109" s="55">
        <f>J107+J108</f>
        <v>809070.2223248573</v>
      </c>
      <c r="K109" s="55"/>
      <c r="L109" s="55"/>
      <c r="M109" s="55"/>
      <c r="N109" s="55"/>
      <c r="O109" s="55"/>
      <c r="P109" s="55"/>
    </row>
    <row r="110" spans="10:16" ht="12.75">
      <c r="J110" s="55"/>
      <c r="K110" s="55"/>
      <c r="L110" s="55"/>
      <c r="M110" s="55"/>
      <c r="N110" s="55"/>
      <c r="O110" s="55"/>
      <c r="P110" s="55"/>
    </row>
    <row r="111" spans="10:16" ht="12.75">
      <c r="J111" s="55"/>
      <c r="K111" s="55"/>
      <c r="L111" s="55"/>
      <c r="M111" s="55"/>
      <c r="N111" s="55"/>
      <c r="O111" s="55"/>
      <c r="P111" s="55"/>
    </row>
    <row r="112" spans="4:16" ht="12.75">
      <c r="D112" s="177" t="s">
        <v>637</v>
      </c>
      <c r="E112" s="177"/>
      <c r="F112" s="662">
        <f>+F87</f>
        <v>770987.5214097345</v>
      </c>
      <c r="G112" s="177"/>
      <c r="H112" s="177"/>
      <c r="I112" s="177"/>
      <c r="J112" s="55"/>
      <c r="K112" s="55"/>
      <c r="L112" s="55"/>
      <c r="M112" s="55"/>
      <c r="N112" s="55"/>
      <c r="O112" s="55"/>
      <c r="P112" s="55"/>
    </row>
    <row r="113" spans="4:10" ht="12.75">
      <c r="D113" t="s">
        <v>636</v>
      </c>
      <c r="F113" s="665">
        <f>+L87</f>
        <v>1068144.312597569</v>
      </c>
      <c r="G113" s="177"/>
      <c r="H113" s="177"/>
      <c r="I113" s="177"/>
      <c r="J113" s="177"/>
    </row>
    <row r="114" spans="4:7" ht="12.75">
      <c r="D114" t="s">
        <v>635</v>
      </c>
      <c r="F114" s="665">
        <v>0</v>
      </c>
      <c r="G114" s="177"/>
    </row>
    <row r="115" spans="4:10" ht="12.75">
      <c r="D115" t="s">
        <v>634</v>
      </c>
      <c r="F115" s="665">
        <f>+F114+F113+F112</f>
        <v>1839131.8340073037</v>
      </c>
      <c r="G115" s="177"/>
      <c r="H115" s="177"/>
      <c r="I115" s="177"/>
      <c r="J115" s="177"/>
    </row>
    <row r="116" spans="6:10" ht="12.75">
      <c r="F116" s="657"/>
      <c r="G116" s="177"/>
      <c r="H116" s="177"/>
      <c r="I116" s="177"/>
      <c r="J116" s="177"/>
    </row>
    <row r="117" spans="4:10" ht="12.75">
      <c r="D117" s="177" t="s">
        <v>633</v>
      </c>
      <c r="F117" s="656">
        <f>+F64+F68+F80</f>
        <v>79998.50299151661</v>
      </c>
      <c r="G117" s="177"/>
      <c r="H117" s="656">
        <f>+F64+F68+F72+F80+F84</f>
        <v>92594.54721974161</v>
      </c>
      <c r="I117" s="177"/>
      <c r="J117" s="656"/>
    </row>
    <row r="118" spans="4:10" ht="12.75">
      <c r="D118" s="177" t="s">
        <v>632</v>
      </c>
      <c r="F118" s="656">
        <f>+F65+F69+F81</f>
        <v>17304</v>
      </c>
      <c r="G118" s="177"/>
      <c r="H118" s="656">
        <f>+F65+F69+F73+F81+F85</f>
        <v>20148</v>
      </c>
      <c r="I118" s="177"/>
      <c r="J118" s="656"/>
    </row>
    <row r="119" spans="6:10" ht="12.75">
      <c r="F119" s="177"/>
      <c r="G119" s="177"/>
      <c r="H119" s="177"/>
      <c r="I119" s="177"/>
      <c r="J119" s="177"/>
    </row>
    <row r="120" spans="4:8" ht="12.75">
      <c r="D120" t="s">
        <v>631</v>
      </c>
      <c r="F120" s="615">
        <f>6.5*F69</f>
        <v>4680</v>
      </c>
      <c r="H120" s="615">
        <f>+H117*0.65</f>
        <v>60186.455692832045</v>
      </c>
    </row>
    <row r="121" spans="4:8" ht="12.75">
      <c r="D121" t="s">
        <v>630</v>
      </c>
      <c r="F121" s="615">
        <f>3.24*F68</f>
        <v>12365.20284195982</v>
      </c>
      <c r="H121" s="615">
        <f>+H118*3</f>
        <v>60444</v>
      </c>
    </row>
    <row r="122" spans="4:8" ht="12.75">
      <c r="D122" t="s">
        <v>629</v>
      </c>
      <c r="F122" s="663">
        <f>(F117-F68)*1.95</f>
        <v>148555.0606045001</v>
      </c>
      <c r="H122" s="615"/>
    </row>
    <row r="123" spans="4:8" ht="12.75">
      <c r="D123" t="s">
        <v>628</v>
      </c>
      <c r="F123" s="663">
        <v>0</v>
      </c>
      <c r="H123" s="615"/>
    </row>
    <row r="124" spans="4:10" ht="12.75">
      <c r="D124" t="s">
        <v>627</v>
      </c>
      <c r="F124" s="663">
        <f>+F123+F122+F121+F120</f>
        <v>165600.2634464599</v>
      </c>
      <c r="H124" s="615">
        <f>+H121+H120</f>
        <v>120630.45569283204</v>
      </c>
      <c r="J124" s="664"/>
    </row>
    <row r="125" ht="12.75">
      <c r="H125" s="615"/>
    </row>
    <row r="126" spans="4:10" ht="12.75">
      <c r="D126" t="s">
        <v>626</v>
      </c>
      <c r="F126" s="472">
        <f>+F124/F115</f>
        <v>0.0900426279314799</v>
      </c>
      <c r="G126" s="472"/>
      <c r="H126" s="472">
        <f>+H124/F115</f>
        <v>0.06559097801596368</v>
      </c>
      <c r="I126" s="472"/>
      <c r="J126" s="472">
        <f>+H126+F126</f>
        <v>0.15563360594744358</v>
      </c>
    </row>
    <row r="127" spans="6:8" ht="12.75">
      <c r="F127" s="666" t="s">
        <v>12</v>
      </c>
      <c r="G127" s="666"/>
      <c r="H127" s="666" t="s">
        <v>13</v>
      </c>
    </row>
  </sheetData>
  <printOptions horizontalCentered="1"/>
  <pageMargins left="0.25" right="0.25" top="1.03" bottom="0.25" header="0.5" footer="0.2"/>
  <pageSetup horizontalDpi="600" verticalDpi="600" orientation="landscape" scale="80" r:id="rId1"/>
  <headerFooter alignWithMargins="0">
    <oddFooter>&amp;LGUD No. 9731&amp;RFinal Order</oddFooter>
  </headerFooter>
  <rowBreaks count="1" manualBreakCount="1">
    <brk id="47" max="15" man="1"/>
  </rowBreaks>
</worksheet>
</file>

<file path=xl/worksheets/sheet16.xml><?xml version="1.0" encoding="utf-8"?>
<worksheet xmlns="http://schemas.openxmlformats.org/spreadsheetml/2006/main" xmlns:r="http://schemas.openxmlformats.org/officeDocument/2006/relationships">
  <sheetPr codeName="Sheet16">
    <tabColor indexed="49"/>
  </sheetPr>
  <dimension ref="A1:AD88"/>
  <sheetViews>
    <sheetView zoomScale="75" zoomScaleNormal="75" workbookViewId="0" topLeftCell="F7">
      <selection activeCell="AF6" sqref="AF6"/>
    </sheetView>
  </sheetViews>
  <sheetFormatPr defaultColWidth="9.140625" defaultRowHeight="12.75"/>
  <cols>
    <col min="1" max="1" width="0.9921875" style="0" customWidth="1"/>
    <col min="2" max="2" width="5.00390625" style="0" customWidth="1"/>
    <col min="3" max="3" width="1.28515625" style="0" customWidth="1"/>
    <col min="4" max="4" width="30.421875" style="0" customWidth="1"/>
    <col min="5" max="5" width="1.421875" style="0" customWidth="1"/>
    <col min="6" max="6" width="11.00390625" style="0" customWidth="1"/>
    <col min="7" max="7" width="0.85546875" style="0" customWidth="1"/>
    <col min="8" max="8" width="10.140625" style="0" customWidth="1"/>
    <col min="9" max="9" width="1.28515625" style="0" customWidth="1"/>
    <col min="10" max="10" width="10.421875" style="0" customWidth="1"/>
    <col min="11" max="11" width="1.1484375" style="0" customWidth="1"/>
    <col min="12" max="12" width="12.8515625" style="0" customWidth="1"/>
    <col min="13" max="13" width="1.1484375" style="0" customWidth="1"/>
    <col min="14" max="14" width="11.8515625" style="0" customWidth="1"/>
    <col min="15" max="15" width="0.9921875" style="0" customWidth="1"/>
    <col min="17" max="17" width="0.85546875" style="0" customWidth="1"/>
    <col min="18" max="18" width="10.140625" style="0" customWidth="1"/>
    <col min="19" max="19" width="1.1484375" style="0" customWidth="1"/>
    <col min="20" max="20" width="11.28125" style="0" customWidth="1"/>
    <col min="21" max="21" width="3.00390625" style="0" customWidth="1"/>
    <col min="22" max="22" width="11.421875" style="0" customWidth="1"/>
    <col min="23" max="23" width="1.1484375" style="0" customWidth="1"/>
    <col min="24" max="24" width="12.00390625" style="0" customWidth="1"/>
    <col min="25" max="25" width="0.9921875" style="0" customWidth="1"/>
    <col min="26" max="26" width="11.421875" style="0" customWidth="1"/>
    <col min="27" max="27" width="1.421875" style="0" customWidth="1"/>
    <col min="28" max="28" width="10.421875" style="0" customWidth="1"/>
    <col min="29" max="29" width="0.9921875" style="0" customWidth="1"/>
    <col min="30" max="30" width="9.57421875" style="0" customWidth="1"/>
  </cols>
  <sheetData>
    <row r="1" spans="1:30" ht="15.75">
      <c r="A1" s="578"/>
      <c r="B1" s="578"/>
      <c r="C1" s="578"/>
      <c r="D1" s="578"/>
      <c r="E1" s="578"/>
      <c r="F1" s="578"/>
      <c r="G1" s="578"/>
      <c r="H1" s="578"/>
      <c r="I1" s="578"/>
      <c r="J1" s="578"/>
      <c r="K1" s="578"/>
      <c r="L1" s="584"/>
      <c r="M1" s="584"/>
      <c r="N1" s="578"/>
      <c r="O1" s="584"/>
      <c r="P1" s="584"/>
      <c r="Q1" s="584"/>
      <c r="R1" s="584"/>
      <c r="S1" s="584"/>
      <c r="T1" s="578"/>
      <c r="U1" s="584"/>
      <c r="AD1" s="132" t="s">
        <v>728</v>
      </c>
    </row>
    <row r="2" spans="1:30" ht="15.75">
      <c r="A2" s="608" t="str">
        <f>+'Schedule F'!A50:P50</f>
        <v>HUGHES NATURAL GAS </v>
      </c>
      <c r="B2" s="608"/>
      <c r="C2" s="608"/>
      <c r="D2" s="608"/>
      <c r="E2" s="608"/>
      <c r="F2" s="608"/>
      <c r="G2" s="608"/>
      <c r="H2" s="608"/>
      <c r="I2" s="608"/>
      <c r="J2" s="608"/>
      <c r="K2" s="608"/>
      <c r="L2" s="608"/>
      <c r="M2" s="608"/>
      <c r="N2" s="608"/>
      <c r="O2" s="608"/>
      <c r="P2" s="608"/>
      <c r="Q2" s="608"/>
      <c r="R2" s="608"/>
      <c r="S2" s="608"/>
      <c r="T2" s="608"/>
      <c r="U2" s="608"/>
      <c r="V2" s="608"/>
      <c r="W2" s="461"/>
      <c r="X2" s="461"/>
      <c r="Y2" s="461"/>
      <c r="Z2" s="461"/>
      <c r="AA2" s="461"/>
      <c r="AB2" s="461"/>
      <c r="AC2" s="461"/>
      <c r="AD2" s="461"/>
    </row>
    <row r="3" spans="1:30" ht="15.75">
      <c r="A3" s="608" t="str">
        <f>+'Schedule F'!A51:P51</f>
        <v>TEST YEAR ENDING DECEMBER 31, 2006</v>
      </c>
      <c r="B3" s="608"/>
      <c r="C3" s="608"/>
      <c r="D3" s="608"/>
      <c r="E3" s="608"/>
      <c r="F3" s="608"/>
      <c r="G3" s="608"/>
      <c r="H3" s="608"/>
      <c r="I3" s="608"/>
      <c r="J3" s="608"/>
      <c r="K3" s="608"/>
      <c r="L3" s="608"/>
      <c r="M3" s="608"/>
      <c r="N3" s="608"/>
      <c r="O3" s="608"/>
      <c r="P3" s="608"/>
      <c r="Q3" s="608"/>
      <c r="R3" s="608"/>
      <c r="S3" s="608"/>
      <c r="T3" s="608"/>
      <c r="U3" s="608"/>
      <c r="V3" s="608"/>
      <c r="W3" s="461"/>
      <c r="X3" s="461"/>
      <c r="Y3" s="461"/>
      <c r="Z3" s="461"/>
      <c r="AA3" s="461"/>
      <c r="AB3" s="461"/>
      <c r="AC3" s="461"/>
      <c r="AD3" s="461"/>
    </row>
    <row r="4" spans="1:26" ht="15.75">
      <c r="A4" s="585"/>
      <c r="B4" s="580"/>
      <c r="C4" s="585"/>
      <c r="D4" s="580"/>
      <c r="E4" s="580"/>
      <c r="F4" s="580"/>
      <c r="G4" s="580"/>
      <c r="H4" s="580"/>
      <c r="I4" s="580"/>
      <c r="J4" s="580"/>
      <c r="K4" s="580"/>
      <c r="L4" s="580"/>
      <c r="M4" s="580"/>
      <c r="N4" s="580"/>
      <c r="O4" s="580"/>
      <c r="P4" s="580"/>
      <c r="Q4" s="580"/>
      <c r="R4" s="580"/>
      <c r="S4" s="580"/>
      <c r="T4" s="580"/>
      <c r="U4" s="607"/>
      <c r="V4" s="607"/>
      <c r="W4" s="461"/>
      <c r="X4" s="461"/>
      <c r="Y4" s="461"/>
      <c r="Z4" s="461"/>
    </row>
    <row r="5" spans="1:30" ht="15.75">
      <c r="A5" s="609" t="s">
        <v>70</v>
      </c>
      <c r="B5" s="609"/>
      <c r="C5" s="609"/>
      <c r="D5" s="609"/>
      <c r="E5" s="609"/>
      <c r="F5" s="609"/>
      <c r="G5" s="609"/>
      <c r="H5" s="609"/>
      <c r="I5" s="609"/>
      <c r="J5" s="609"/>
      <c r="K5" s="609"/>
      <c r="L5" s="609"/>
      <c r="M5" s="609"/>
      <c r="N5" s="609"/>
      <c r="O5" s="609"/>
      <c r="P5" s="609"/>
      <c r="Q5" s="609"/>
      <c r="R5" s="609"/>
      <c r="S5" s="609"/>
      <c r="T5" s="609"/>
      <c r="U5" s="609"/>
      <c r="V5" s="609"/>
      <c r="W5" s="461"/>
      <c r="X5" s="461"/>
      <c r="Y5" s="461"/>
      <c r="Z5" s="461"/>
      <c r="AA5" s="461"/>
      <c r="AB5" s="461"/>
      <c r="AC5" s="461"/>
      <c r="AD5" s="461"/>
    </row>
    <row r="6" spans="1:30" ht="16.5" thickBot="1">
      <c r="A6" s="609"/>
      <c r="B6" s="609"/>
      <c r="C6" s="609"/>
      <c r="D6" s="609"/>
      <c r="E6" s="609"/>
      <c r="F6" s="609"/>
      <c r="G6" s="609"/>
      <c r="H6" s="609"/>
      <c r="I6" s="609"/>
      <c r="J6" s="609"/>
      <c r="K6" s="609"/>
      <c r="L6" s="609"/>
      <c r="M6" s="609"/>
      <c r="N6" s="761"/>
      <c r="O6" s="609"/>
      <c r="P6" s="609"/>
      <c r="Q6" s="609"/>
      <c r="R6" s="609"/>
      <c r="S6" s="609"/>
      <c r="T6" s="609"/>
      <c r="U6" s="609"/>
      <c r="V6" s="609"/>
      <c r="W6" s="461"/>
      <c r="X6" s="461"/>
      <c r="Y6" s="461"/>
      <c r="Z6" s="461"/>
      <c r="AA6" s="461"/>
      <c r="AB6" s="461"/>
      <c r="AC6" s="461"/>
      <c r="AD6" s="461"/>
    </row>
    <row r="7" spans="1:30" ht="16.5" thickBot="1">
      <c r="A7" s="582"/>
      <c r="B7" s="582"/>
      <c r="C7" s="582"/>
      <c r="D7" s="582"/>
      <c r="E7" s="582"/>
      <c r="F7" s="582"/>
      <c r="G7" s="582"/>
      <c r="H7" s="582"/>
      <c r="I7" s="582"/>
      <c r="J7" s="582"/>
      <c r="K7" s="582"/>
      <c r="L7" s="621" t="s">
        <v>14</v>
      </c>
      <c r="M7" s="622"/>
      <c r="N7" s="761"/>
      <c r="O7" s="622"/>
      <c r="P7" s="622"/>
      <c r="Q7" s="622"/>
      <c r="R7" s="622"/>
      <c r="S7" s="622"/>
      <c r="T7" s="623"/>
      <c r="U7" s="582"/>
      <c r="V7" s="621" t="s">
        <v>15</v>
      </c>
      <c r="W7" s="622"/>
      <c r="X7" s="622"/>
      <c r="Y7" s="622"/>
      <c r="Z7" s="622"/>
      <c r="AA7" s="622"/>
      <c r="AB7" s="622"/>
      <c r="AC7" s="622"/>
      <c r="AD7" s="623"/>
    </row>
    <row r="8" spans="1:29" ht="16.5" thickBot="1">
      <c r="A8" s="582"/>
      <c r="B8" s="582"/>
      <c r="C8" s="582"/>
      <c r="D8" s="582"/>
      <c r="E8" s="582"/>
      <c r="F8" s="582"/>
      <c r="G8" s="582"/>
      <c r="I8" s="582"/>
      <c r="K8" s="582"/>
      <c r="S8" s="617"/>
      <c r="U8" s="582"/>
      <c r="AC8" s="617"/>
    </row>
    <row r="9" spans="1:30" ht="15.75">
      <c r="A9" s="582"/>
      <c r="B9" s="582"/>
      <c r="C9" s="582"/>
      <c r="D9" s="588" t="s">
        <v>457</v>
      </c>
      <c r="E9" s="582"/>
      <c r="F9" s="588" t="s">
        <v>74</v>
      </c>
      <c r="G9" s="582"/>
      <c r="H9" s="588" t="s">
        <v>12</v>
      </c>
      <c r="I9" s="617"/>
      <c r="J9" s="588" t="s">
        <v>13</v>
      </c>
      <c r="K9" s="582"/>
      <c r="L9" s="588" t="s">
        <v>74</v>
      </c>
      <c r="M9" s="582"/>
      <c r="N9" s="588" t="s">
        <v>12</v>
      </c>
      <c r="O9" s="582"/>
      <c r="P9" s="588" t="s">
        <v>78</v>
      </c>
      <c r="Q9" s="582"/>
      <c r="R9" s="588" t="s">
        <v>13</v>
      </c>
      <c r="S9" s="618"/>
      <c r="T9" s="588" t="s">
        <v>78</v>
      </c>
      <c r="U9" s="582"/>
      <c r="V9" s="588" t="s">
        <v>74</v>
      </c>
      <c r="W9" s="582"/>
      <c r="X9" s="588" t="s">
        <v>12</v>
      </c>
      <c r="Y9" s="582"/>
      <c r="Z9" s="588" t="s">
        <v>78</v>
      </c>
      <c r="AA9" s="582"/>
      <c r="AB9" s="588" t="s">
        <v>13</v>
      </c>
      <c r="AC9" s="618"/>
      <c r="AD9" s="588" t="s">
        <v>78</v>
      </c>
    </row>
    <row r="10" spans="1:30" ht="16.5" thickBot="1">
      <c r="A10" s="578"/>
      <c r="B10" s="579"/>
      <c r="C10" s="579"/>
      <c r="D10" s="589" t="s">
        <v>80</v>
      </c>
      <c r="E10" s="580"/>
      <c r="F10" s="589" t="s">
        <v>75</v>
      </c>
      <c r="G10" s="583"/>
      <c r="H10" s="589" t="s">
        <v>75</v>
      </c>
      <c r="I10" s="581"/>
      <c r="J10" s="589" t="s">
        <v>75</v>
      </c>
      <c r="K10" s="580"/>
      <c r="L10" s="589" t="s">
        <v>77</v>
      </c>
      <c r="M10" s="580"/>
      <c r="N10" s="589" t="s">
        <v>77</v>
      </c>
      <c r="O10" s="580"/>
      <c r="P10" s="589" t="s">
        <v>467</v>
      </c>
      <c r="Q10" s="580"/>
      <c r="R10" s="589" t="s">
        <v>77</v>
      </c>
      <c r="S10" s="597"/>
      <c r="T10" s="589" t="s">
        <v>467</v>
      </c>
      <c r="U10" s="578"/>
      <c r="V10" s="589" t="s">
        <v>77</v>
      </c>
      <c r="W10" s="580"/>
      <c r="X10" s="589" t="s">
        <v>77</v>
      </c>
      <c r="Y10" s="580"/>
      <c r="Z10" s="589" t="s">
        <v>467</v>
      </c>
      <c r="AA10" s="580"/>
      <c r="AB10" s="589" t="s">
        <v>77</v>
      </c>
      <c r="AC10" s="597"/>
      <c r="AD10" s="589" t="s">
        <v>467</v>
      </c>
    </row>
    <row r="11" spans="1:30" ht="15.75">
      <c r="A11" s="578"/>
      <c r="B11" s="579"/>
      <c r="C11" s="579"/>
      <c r="D11" s="606" t="s">
        <v>404</v>
      </c>
      <c r="E11" s="580"/>
      <c r="F11" s="606" t="s">
        <v>405</v>
      </c>
      <c r="G11" s="583"/>
      <c r="H11" s="606" t="s">
        <v>551</v>
      </c>
      <c r="I11" s="606"/>
      <c r="J11" s="606" t="s">
        <v>406</v>
      </c>
      <c r="K11" s="580"/>
      <c r="L11" s="606" t="s">
        <v>550</v>
      </c>
      <c r="M11" s="580"/>
      <c r="N11" s="606" t="s">
        <v>555</v>
      </c>
      <c r="P11" s="606" t="s">
        <v>481</v>
      </c>
      <c r="Q11" s="580"/>
      <c r="R11" s="606" t="s">
        <v>81</v>
      </c>
      <c r="S11" s="580"/>
      <c r="T11" s="606" t="s">
        <v>82</v>
      </c>
      <c r="U11" s="578"/>
      <c r="V11" s="606" t="s">
        <v>16</v>
      </c>
      <c r="X11" s="606" t="s">
        <v>17</v>
      </c>
      <c r="Z11" s="606" t="s">
        <v>18</v>
      </c>
      <c r="AB11" s="606" t="s">
        <v>19</v>
      </c>
      <c r="AD11" s="606" t="s">
        <v>20</v>
      </c>
    </row>
    <row r="12" spans="1:24" ht="15.75">
      <c r="A12" s="578"/>
      <c r="B12" s="581"/>
      <c r="C12" s="579"/>
      <c r="D12" s="590" t="s">
        <v>71</v>
      </c>
      <c r="E12" s="581"/>
      <c r="F12" s="580"/>
      <c r="G12" s="580"/>
      <c r="H12" s="580"/>
      <c r="I12" s="580"/>
      <c r="J12" s="580"/>
      <c r="K12" s="580"/>
      <c r="L12" s="595">
        <v>6</v>
      </c>
      <c r="M12" s="596"/>
      <c r="N12" s="597">
        <f>+L12</f>
        <v>6</v>
      </c>
      <c r="O12" s="597"/>
      <c r="P12" s="597"/>
      <c r="Q12" s="597"/>
      <c r="R12" s="597"/>
      <c r="S12" s="597"/>
      <c r="T12" s="597"/>
      <c r="U12" s="597"/>
      <c r="V12" s="597">
        <v>10</v>
      </c>
      <c r="W12" s="598"/>
      <c r="X12" s="598">
        <v>10</v>
      </c>
    </row>
    <row r="13" spans="1:28" ht="15.75">
      <c r="A13" s="578"/>
      <c r="B13" s="581">
        <v>1</v>
      </c>
      <c r="C13" s="579"/>
      <c r="D13" s="579" t="s">
        <v>639</v>
      </c>
      <c r="E13" s="581"/>
      <c r="F13" s="593">
        <v>12.5</v>
      </c>
      <c r="G13" s="580"/>
      <c r="H13" s="593">
        <v>12.5</v>
      </c>
      <c r="I13" s="593"/>
      <c r="J13" s="593">
        <f>'Schedule F'!L91</f>
        <v>15.5</v>
      </c>
      <c r="K13" s="580"/>
      <c r="L13" s="593">
        <f>+F13</f>
        <v>12.5</v>
      </c>
      <c r="M13" s="581"/>
      <c r="N13" s="600">
        <f>+H13</f>
        <v>12.5</v>
      </c>
      <c r="O13" s="578"/>
      <c r="P13" s="578"/>
      <c r="Q13" s="578"/>
      <c r="R13" s="600">
        <f>+J13</f>
        <v>15.5</v>
      </c>
      <c r="S13" s="578"/>
      <c r="T13" s="578"/>
      <c r="U13" s="578"/>
      <c r="V13" s="594">
        <f>+F13</f>
        <v>12.5</v>
      </c>
      <c r="X13" s="594">
        <f>+H13</f>
        <v>12.5</v>
      </c>
      <c r="AB13" s="594">
        <f>+J13</f>
        <v>15.5</v>
      </c>
    </row>
    <row r="14" spans="1:28" ht="15.75">
      <c r="A14" s="578"/>
      <c r="B14" s="581">
        <v>2</v>
      </c>
      <c r="C14" s="579"/>
      <c r="D14" s="579" t="s">
        <v>638</v>
      </c>
      <c r="E14" s="581"/>
      <c r="F14" s="593">
        <v>3.8</v>
      </c>
      <c r="G14" s="580"/>
      <c r="H14" s="593">
        <v>5.75</v>
      </c>
      <c r="I14" s="593"/>
      <c r="J14" s="593">
        <f>'Schedule F'!L92</f>
        <v>5.3650699446256604</v>
      </c>
      <c r="K14" s="580"/>
      <c r="L14" s="593">
        <f>+$L$12*F14</f>
        <v>22.799999999999997</v>
      </c>
      <c r="M14" s="581"/>
      <c r="N14" s="600">
        <f>+H14*$N$12</f>
        <v>34.5</v>
      </c>
      <c r="O14" s="578"/>
      <c r="P14" s="578"/>
      <c r="Q14" s="578"/>
      <c r="R14" s="600">
        <f>+J14*$L$12</f>
        <v>32.190419667753964</v>
      </c>
      <c r="S14" s="578"/>
      <c r="T14" s="578"/>
      <c r="U14" s="578"/>
      <c r="V14" s="594">
        <f>+$V$12*F14</f>
        <v>38</v>
      </c>
      <c r="X14" s="594">
        <f>+$X$12*H14</f>
        <v>57.5</v>
      </c>
      <c r="AB14" s="594">
        <f>$V$12*J14</f>
        <v>53.6506994462566</v>
      </c>
    </row>
    <row r="15" spans="1:28" ht="15.75">
      <c r="A15" s="578"/>
      <c r="B15" s="583">
        <v>3</v>
      </c>
      <c r="C15" s="578"/>
      <c r="D15" s="578" t="s">
        <v>79</v>
      </c>
      <c r="E15" s="578"/>
      <c r="F15" s="594">
        <v>9.62</v>
      </c>
      <c r="G15" s="578"/>
      <c r="H15" s="594">
        <f>+F15</f>
        <v>9.62</v>
      </c>
      <c r="I15" s="594"/>
      <c r="J15" s="594">
        <f>+H15</f>
        <v>9.62</v>
      </c>
      <c r="K15" s="578"/>
      <c r="L15" s="599">
        <f>+$L$12*F15</f>
        <v>57.72</v>
      </c>
      <c r="M15" s="578"/>
      <c r="N15" s="601">
        <f>+H15*$N$12</f>
        <v>57.72</v>
      </c>
      <c r="O15" s="578"/>
      <c r="P15" s="578"/>
      <c r="Q15" s="578"/>
      <c r="R15" s="619">
        <f>+J15*$L$12</f>
        <v>57.72</v>
      </c>
      <c r="S15" s="578"/>
      <c r="T15" s="578"/>
      <c r="U15" s="578"/>
      <c r="V15" s="602">
        <f>+$V$12*F15</f>
        <v>96.19999999999999</v>
      </c>
      <c r="X15" s="602">
        <f>+$X$12*H15</f>
        <v>96.19999999999999</v>
      </c>
      <c r="AB15" s="602">
        <f>$V$12*J15</f>
        <v>96.19999999999999</v>
      </c>
    </row>
    <row r="16" spans="1:30" ht="15.75">
      <c r="A16" s="578"/>
      <c r="B16" s="583">
        <v>4</v>
      </c>
      <c r="C16" s="578"/>
      <c r="D16" s="578" t="s">
        <v>490</v>
      </c>
      <c r="E16" s="578"/>
      <c r="F16" s="594"/>
      <c r="G16" s="578"/>
      <c r="H16" s="594"/>
      <c r="I16" s="594"/>
      <c r="J16" s="594"/>
      <c r="K16" s="578"/>
      <c r="L16" s="603">
        <f>SUM(L13:L15)</f>
        <v>93.02</v>
      </c>
      <c r="M16" s="587"/>
      <c r="N16" s="603">
        <f>SUM(N13:N15)</f>
        <v>104.72</v>
      </c>
      <c r="O16" s="587"/>
      <c r="P16" s="604">
        <f>(N16-L16)/L16</f>
        <v>0.1257794022790798</v>
      </c>
      <c r="Q16" s="587"/>
      <c r="R16" s="603">
        <f>SUM(R13:R15)</f>
        <v>105.41041966775396</v>
      </c>
      <c r="S16" s="587"/>
      <c r="T16" s="604">
        <f>(R16-N16)/N16</f>
        <v>0.006593006758536644</v>
      </c>
      <c r="U16" s="587"/>
      <c r="V16" s="605">
        <f>SUM(V13:V15)</f>
        <v>146.7</v>
      </c>
      <c r="W16" s="227"/>
      <c r="X16" s="605">
        <f>SUM(X13:X15)</f>
        <v>166.2</v>
      </c>
      <c r="Y16" s="227"/>
      <c r="Z16" s="604">
        <f>(X16-V16)/V16</f>
        <v>0.13292433537832313</v>
      </c>
      <c r="AB16" s="605">
        <f>SUM(AB13:AB15)</f>
        <v>165.35069944625658</v>
      </c>
      <c r="AC16" s="227"/>
      <c r="AD16" s="604">
        <f>(AB16-X16)/X16</f>
        <v>-0.005110111635038534</v>
      </c>
    </row>
    <row r="17" spans="1:22" ht="15.75">
      <c r="A17" s="578"/>
      <c r="B17" s="583"/>
      <c r="C17" s="578"/>
      <c r="D17" s="578"/>
      <c r="E17" s="578"/>
      <c r="F17" s="594"/>
      <c r="G17" s="578"/>
      <c r="H17" s="594"/>
      <c r="I17" s="594"/>
      <c r="J17" s="594"/>
      <c r="K17" s="578"/>
      <c r="L17" s="592"/>
      <c r="M17" s="578"/>
      <c r="N17" s="600"/>
      <c r="O17" s="578"/>
      <c r="P17" s="578"/>
      <c r="Q17" s="578"/>
      <c r="R17" s="578"/>
      <c r="S17" s="578"/>
      <c r="U17" s="578"/>
      <c r="V17" s="578"/>
    </row>
    <row r="18" spans="1:22" ht="15.75">
      <c r="A18" s="578"/>
      <c r="B18" s="583"/>
      <c r="C18" s="578"/>
      <c r="D18" s="591" t="s">
        <v>72</v>
      </c>
      <c r="E18" s="578"/>
      <c r="F18" s="594"/>
      <c r="G18" s="578"/>
      <c r="H18" s="594"/>
      <c r="I18" s="594"/>
      <c r="J18" s="594"/>
      <c r="K18" s="578"/>
      <c r="L18" s="592"/>
      <c r="M18" s="578"/>
      <c r="N18" s="600"/>
      <c r="O18" s="578"/>
      <c r="P18" s="578"/>
      <c r="Q18" s="578"/>
      <c r="R18" s="578"/>
      <c r="S18" s="578"/>
      <c r="U18" s="578"/>
      <c r="V18" s="578"/>
    </row>
    <row r="19" spans="1:28" ht="15.75">
      <c r="A19" s="578"/>
      <c r="B19" s="583">
        <v>5</v>
      </c>
      <c r="C19" s="578"/>
      <c r="D19" s="579" t="s">
        <v>639</v>
      </c>
      <c r="E19" s="578"/>
      <c r="F19" s="594">
        <f>+F13</f>
        <v>12.5</v>
      </c>
      <c r="G19" s="578"/>
      <c r="H19" s="594">
        <f>+H13</f>
        <v>12.5</v>
      </c>
      <c r="I19" s="594"/>
      <c r="J19" s="594">
        <f>+J13</f>
        <v>15.5</v>
      </c>
      <c r="K19" s="578"/>
      <c r="L19" s="593">
        <f>+F19</f>
        <v>12.5</v>
      </c>
      <c r="M19" s="578"/>
      <c r="N19" s="600">
        <f>+H19</f>
        <v>12.5</v>
      </c>
      <c r="O19" s="578"/>
      <c r="P19" s="578"/>
      <c r="Q19" s="578"/>
      <c r="R19" s="600">
        <f>+J19</f>
        <v>15.5</v>
      </c>
      <c r="S19" s="578"/>
      <c r="T19" s="578"/>
      <c r="U19" s="578"/>
      <c r="V19" s="594">
        <f>+F19</f>
        <v>12.5</v>
      </c>
      <c r="X19" s="594">
        <f>+H19</f>
        <v>12.5</v>
      </c>
      <c r="AB19" s="594">
        <f>+J19</f>
        <v>15.5</v>
      </c>
    </row>
    <row r="20" spans="1:28" ht="15.75">
      <c r="A20" s="578"/>
      <c r="B20" s="583">
        <v>6</v>
      </c>
      <c r="C20" s="578"/>
      <c r="D20" s="579" t="s">
        <v>638</v>
      </c>
      <c r="E20" s="578"/>
      <c r="F20" s="594">
        <f>+F14</f>
        <v>3.8</v>
      </c>
      <c r="G20" s="578"/>
      <c r="H20" s="594">
        <f>+H14</f>
        <v>5.75</v>
      </c>
      <c r="I20" s="594"/>
      <c r="J20" s="594">
        <f>+J14</f>
        <v>5.3650699446256604</v>
      </c>
      <c r="K20" s="578"/>
      <c r="L20" s="593">
        <f>+$L$12*F20</f>
        <v>22.799999999999997</v>
      </c>
      <c r="M20" s="578"/>
      <c r="N20" s="600">
        <f>+H20*$N$12</f>
        <v>34.5</v>
      </c>
      <c r="O20" s="578"/>
      <c r="P20" s="578"/>
      <c r="Q20" s="578"/>
      <c r="R20" s="600">
        <f>+J20*$L$12</f>
        <v>32.190419667753964</v>
      </c>
      <c r="S20" s="578"/>
      <c r="T20" s="578"/>
      <c r="U20" s="578"/>
      <c r="V20" s="594">
        <f>+$V$12*F20</f>
        <v>38</v>
      </c>
      <c r="X20" s="594">
        <f>+$X$12*H20</f>
        <v>57.5</v>
      </c>
      <c r="AB20" s="594">
        <f>$V$12*J20</f>
        <v>53.6506994462566</v>
      </c>
    </row>
    <row r="21" spans="1:28" ht="15.75">
      <c r="A21" s="578"/>
      <c r="B21" s="583">
        <v>7</v>
      </c>
      <c r="C21" s="578"/>
      <c r="D21" s="578" t="s">
        <v>79</v>
      </c>
      <c r="E21" s="578"/>
      <c r="F21" s="594">
        <f>+F15</f>
        <v>9.62</v>
      </c>
      <c r="G21" s="578"/>
      <c r="H21" s="594">
        <f>+H15</f>
        <v>9.62</v>
      </c>
      <c r="I21" s="594"/>
      <c r="J21" s="594">
        <f>+J15</f>
        <v>9.62</v>
      </c>
      <c r="K21" s="578"/>
      <c r="L21" s="599">
        <f>+$L$12*F21</f>
        <v>57.72</v>
      </c>
      <c r="M21" s="578"/>
      <c r="N21" s="601">
        <f>+H21*$N$12</f>
        <v>57.72</v>
      </c>
      <c r="O21" s="578"/>
      <c r="P21" s="578"/>
      <c r="Q21" s="578"/>
      <c r="R21" s="619">
        <f>+J21*$L$12</f>
        <v>57.72</v>
      </c>
      <c r="S21" s="578"/>
      <c r="T21" s="578"/>
      <c r="U21" s="578"/>
      <c r="V21" s="602">
        <f>+$V$12*F21</f>
        <v>96.19999999999999</v>
      </c>
      <c r="X21" s="602">
        <f>+$X$12*H21</f>
        <v>96.19999999999999</v>
      </c>
      <c r="AB21" s="602">
        <f>$V$12*J21</f>
        <v>96.19999999999999</v>
      </c>
    </row>
    <row r="22" spans="1:30" ht="15.75">
      <c r="A22" s="578"/>
      <c r="B22" s="583">
        <v>8</v>
      </c>
      <c r="C22" s="578"/>
      <c r="D22" s="578" t="s">
        <v>490</v>
      </c>
      <c r="E22" s="578"/>
      <c r="F22" s="594"/>
      <c r="G22" s="578"/>
      <c r="H22" s="594"/>
      <c r="I22" s="594"/>
      <c r="J22" s="594"/>
      <c r="K22" s="578"/>
      <c r="L22" s="603">
        <f>SUM(L19:L21)</f>
        <v>93.02</v>
      </c>
      <c r="M22" s="587"/>
      <c r="N22" s="603">
        <f>SUM(N19:N21)</f>
        <v>104.72</v>
      </c>
      <c r="O22" s="587"/>
      <c r="P22" s="604">
        <f>(N22-L22)/L22</f>
        <v>0.1257794022790798</v>
      </c>
      <c r="Q22" s="587"/>
      <c r="R22" s="603">
        <f>SUM(R19:R21)</f>
        <v>105.41041966775396</v>
      </c>
      <c r="S22" s="587"/>
      <c r="T22" s="604">
        <f>(R22-N22)/N22</f>
        <v>0.006593006758536644</v>
      </c>
      <c r="U22" s="587"/>
      <c r="V22" s="605">
        <f>SUM(V19:V21)</f>
        <v>146.7</v>
      </c>
      <c r="W22" s="227"/>
      <c r="X22" s="605">
        <f>SUM(X19:X21)</f>
        <v>166.2</v>
      </c>
      <c r="Y22" s="227"/>
      <c r="Z22" s="604">
        <f>(X22-V22)/V22</f>
        <v>0.13292433537832313</v>
      </c>
      <c r="AB22" s="605">
        <f>SUM(AB19:AB21)</f>
        <v>165.35069944625658</v>
      </c>
      <c r="AC22" s="227"/>
      <c r="AD22" s="604">
        <f>(AB22-X22)/X22</f>
        <v>-0.005110111635038534</v>
      </c>
    </row>
    <row r="23" spans="1:22" ht="15.75">
      <c r="A23" s="578"/>
      <c r="B23" s="583"/>
      <c r="C23" s="578"/>
      <c r="D23" s="578"/>
      <c r="E23" s="578"/>
      <c r="F23" s="594"/>
      <c r="G23" s="578"/>
      <c r="H23" s="594"/>
      <c r="I23" s="594"/>
      <c r="J23" s="594"/>
      <c r="K23" s="578"/>
      <c r="L23" s="592"/>
      <c r="M23" s="578"/>
      <c r="N23" s="600"/>
      <c r="O23" s="578"/>
      <c r="P23" s="578"/>
      <c r="Q23" s="578"/>
      <c r="R23" s="578"/>
      <c r="S23" s="578"/>
      <c r="U23" s="578"/>
      <c r="V23" s="578"/>
    </row>
    <row r="24" spans="1:22" ht="15.75">
      <c r="A24" s="578"/>
      <c r="B24" s="583"/>
      <c r="C24" s="578"/>
      <c r="D24" s="590" t="s">
        <v>73</v>
      </c>
      <c r="E24" s="578"/>
      <c r="F24" s="594"/>
      <c r="G24" s="578"/>
      <c r="H24" s="594"/>
      <c r="I24" s="594"/>
      <c r="J24" s="594"/>
      <c r="K24" s="578"/>
      <c r="L24" s="592"/>
      <c r="M24" s="578"/>
      <c r="N24" s="600"/>
      <c r="O24" s="578"/>
      <c r="P24" s="578"/>
      <c r="Q24" s="578"/>
      <c r="R24" s="578"/>
      <c r="S24" s="578"/>
      <c r="U24" s="578"/>
      <c r="V24" s="578"/>
    </row>
    <row r="25" spans="1:28" ht="15.75">
      <c r="A25" s="578"/>
      <c r="B25" s="583">
        <v>9</v>
      </c>
      <c r="C25" s="578"/>
      <c r="D25" s="579" t="s">
        <v>639</v>
      </c>
      <c r="E25" s="578"/>
      <c r="F25" s="594">
        <v>6</v>
      </c>
      <c r="G25" s="578"/>
      <c r="H25" s="594">
        <f>+H19</f>
        <v>12.5</v>
      </c>
      <c r="I25" s="594"/>
      <c r="J25" s="594">
        <f>+J19</f>
        <v>15.5</v>
      </c>
      <c r="K25" s="578"/>
      <c r="L25" s="593">
        <f>+F25</f>
        <v>6</v>
      </c>
      <c r="M25" s="578"/>
      <c r="N25" s="600">
        <f>+H25</f>
        <v>12.5</v>
      </c>
      <c r="O25" s="578"/>
      <c r="P25" s="578"/>
      <c r="Q25" s="578"/>
      <c r="R25" s="600">
        <f>+J25</f>
        <v>15.5</v>
      </c>
      <c r="S25" s="578"/>
      <c r="T25" s="578"/>
      <c r="U25" s="578"/>
      <c r="V25" s="594">
        <f>+F25</f>
        <v>6</v>
      </c>
      <c r="X25" s="594">
        <f>+H25</f>
        <v>12.5</v>
      </c>
      <c r="AB25" s="594">
        <f>+J25</f>
        <v>15.5</v>
      </c>
    </row>
    <row r="26" spans="1:28" ht="15.75">
      <c r="A26" s="578"/>
      <c r="B26" s="583">
        <v>10</v>
      </c>
      <c r="C26" s="578"/>
      <c r="D26" s="579" t="s">
        <v>638</v>
      </c>
      <c r="E26" s="578"/>
      <c r="F26" s="594">
        <v>2.51</v>
      </c>
      <c r="G26" s="578"/>
      <c r="H26" s="594">
        <f>+H20</f>
        <v>5.75</v>
      </c>
      <c r="I26" s="594"/>
      <c r="J26" s="594">
        <f>+J20</f>
        <v>5.3650699446256604</v>
      </c>
      <c r="K26" s="578"/>
      <c r="L26" s="593">
        <f>+$L$12*F26</f>
        <v>15.059999999999999</v>
      </c>
      <c r="M26" s="578"/>
      <c r="N26" s="600">
        <f>+H26*$N$12</f>
        <v>34.5</v>
      </c>
      <c r="O26" s="578"/>
      <c r="P26" s="578"/>
      <c r="Q26" s="578"/>
      <c r="R26" s="600">
        <f>+J26*$L$12</f>
        <v>32.190419667753964</v>
      </c>
      <c r="S26" s="578"/>
      <c r="T26" s="578"/>
      <c r="U26" s="578"/>
      <c r="V26" s="594">
        <f>+$V$12*F26</f>
        <v>25.099999999999998</v>
      </c>
      <c r="X26" s="594">
        <f>+$X$12*H26</f>
        <v>57.5</v>
      </c>
      <c r="AB26" s="594">
        <f>$V$12*J26</f>
        <v>53.6506994462566</v>
      </c>
    </row>
    <row r="27" spans="1:28" ht="15.75">
      <c r="A27" s="578"/>
      <c r="B27" s="583">
        <v>11</v>
      </c>
      <c r="C27" s="578"/>
      <c r="D27" s="578" t="s">
        <v>79</v>
      </c>
      <c r="E27" s="578"/>
      <c r="F27" s="594">
        <f>+F21</f>
        <v>9.62</v>
      </c>
      <c r="G27" s="578"/>
      <c r="H27" s="594">
        <f>+H21</f>
        <v>9.62</v>
      </c>
      <c r="I27" s="594"/>
      <c r="J27" s="594">
        <f>+J21</f>
        <v>9.62</v>
      </c>
      <c r="K27" s="578"/>
      <c r="L27" s="599">
        <f>+$L$12*F27</f>
        <v>57.72</v>
      </c>
      <c r="M27" s="578"/>
      <c r="N27" s="601">
        <f>+H27*$N$12</f>
        <v>57.72</v>
      </c>
      <c r="O27" s="578"/>
      <c r="P27" s="578"/>
      <c r="Q27" s="578"/>
      <c r="R27" s="619">
        <f>+J27*$L$12</f>
        <v>57.72</v>
      </c>
      <c r="S27" s="578"/>
      <c r="T27" s="578"/>
      <c r="U27" s="578"/>
      <c r="V27" s="602">
        <f>+$V$12*F27</f>
        <v>96.19999999999999</v>
      </c>
      <c r="X27" s="602">
        <f>+$X$12*H27</f>
        <v>96.19999999999999</v>
      </c>
      <c r="AB27" s="602">
        <f>$V$12*J27</f>
        <v>96.19999999999999</v>
      </c>
    </row>
    <row r="28" spans="1:30" ht="15.75">
      <c r="A28" s="578"/>
      <c r="B28" s="583">
        <v>12</v>
      </c>
      <c r="C28" s="578"/>
      <c r="D28" s="578" t="s">
        <v>490</v>
      </c>
      <c r="E28" s="578"/>
      <c r="F28" s="594"/>
      <c r="G28" s="578"/>
      <c r="H28" s="594"/>
      <c r="I28" s="594"/>
      <c r="J28" s="594"/>
      <c r="K28" s="578"/>
      <c r="L28" s="603">
        <f>SUM(L25:L27)</f>
        <v>78.78</v>
      </c>
      <c r="M28" s="587"/>
      <c r="N28" s="603">
        <f>SUM(N25:N27)</f>
        <v>104.72</v>
      </c>
      <c r="O28" s="587"/>
      <c r="P28" s="604">
        <f>(N28-L28)/L28</f>
        <v>0.32927138867732925</v>
      </c>
      <c r="Q28" s="587"/>
      <c r="R28" s="603">
        <f>SUM(R25:R27)</f>
        <v>105.41041966775396</v>
      </c>
      <c r="S28" s="587"/>
      <c r="T28" s="604">
        <f>(R28-N28)/N28</f>
        <v>0.006593006758536644</v>
      </c>
      <c r="U28" s="587"/>
      <c r="V28" s="605">
        <f>SUM(V25:V27)</f>
        <v>127.29999999999998</v>
      </c>
      <c r="W28" s="227"/>
      <c r="X28" s="605">
        <f>SUM(X25:X27)</f>
        <v>166.2</v>
      </c>
      <c r="Y28" s="227"/>
      <c r="Z28" s="604">
        <f>(X28-V28)/V28</f>
        <v>0.30557737627651227</v>
      </c>
      <c r="AB28" s="605">
        <f>SUM(AB25:AB27)</f>
        <v>165.35069944625658</v>
      </c>
      <c r="AC28" s="227"/>
      <c r="AD28" s="604">
        <f>(AB28-X28)/X28</f>
        <v>-0.005110111635038534</v>
      </c>
    </row>
    <row r="29" spans="1:22" ht="15.75">
      <c r="A29" s="578"/>
      <c r="B29" s="583"/>
      <c r="C29" s="578"/>
      <c r="D29" s="578"/>
      <c r="E29" s="578"/>
      <c r="F29" s="594"/>
      <c r="G29" s="578"/>
      <c r="H29" s="594"/>
      <c r="I29" s="594"/>
      <c r="J29" s="594"/>
      <c r="K29" s="578"/>
      <c r="L29" s="592"/>
      <c r="M29" s="578"/>
      <c r="N29" s="600"/>
      <c r="O29" s="578"/>
      <c r="P29" s="578"/>
      <c r="Q29" s="578"/>
      <c r="R29" s="578"/>
      <c r="S29" s="578"/>
      <c r="U29" s="578"/>
      <c r="V29" s="578"/>
    </row>
    <row r="30" spans="1:22" ht="15.75">
      <c r="A30" s="578"/>
      <c r="B30" s="578"/>
      <c r="C30" s="578"/>
      <c r="D30" s="591" t="s">
        <v>10</v>
      </c>
      <c r="E30" s="578"/>
      <c r="F30" s="578"/>
      <c r="G30" s="578"/>
      <c r="H30" s="594"/>
      <c r="I30" s="594"/>
      <c r="J30" s="594"/>
      <c r="K30" s="578"/>
      <c r="L30" s="592"/>
      <c r="M30" s="578"/>
      <c r="N30" s="600"/>
      <c r="O30" s="578"/>
      <c r="P30" s="578"/>
      <c r="Q30" s="578"/>
      <c r="R30" s="578"/>
      <c r="S30" s="578"/>
      <c r="T30" s="578"/>
      <c r="U30" s="578"/>
      <c r="V30" s="578"/>
    </row>
    <row r="31" spans="1:28" ht="15.75">
      <c r="A31" s="578"/>
      <c r="B31" s="583">
        <f>+B28+1</f>
        <v>13</v>
      </c>
      <c r="C31" s="578"/>
      <c r="D31" s="579" t="s">
        <v>639</v>
      </c>
      <c r="E31" s="578"/>
      <c r="F31" s="600">
        <v>12.5</v>
      </c>
      <c r="G31" s="578"/>
      <c r="H31" s="594">
        <f>+H25</f>
        <v>12.5</v>
      </c>
      <c r="I31" s="594"/>
      <c r="J31" s="594">
        <f>+J25</f>
        <v>15.5</v>
      </c>
      <c r="K31" s="578"/>
      <c r="L31" s="593">
        <f>+F31</f>
        <v>12.5</v>
      </c>
      <c r="M31" s="578"/>
      <c r="N31" s="600">
        <f>+H31</f>
        <v>12.5</v>
      </c>
      <c r="O31" s="578"/>
      <c r="P31" s="578"/>
      <c r="Q31" s="578"/>
      <c r="R31" s="600">
        <f>+J31</f>
        <v>15.5</v>
      </c>
      <c r="S31" s="578"/>
      <c r="T31" s="578"/>
      <c r="U31" s="578"/>
      <c r="V31" s="594">
        <f>+H31</f>
        <v>12.5</v>
      </c>
      <c r="X31" s="594">
        <f>+H31</f>
        <v>12.5</v>
      </c>
      <c r="AB31" s="594">
        <f>+J31</f>
        <v>15.5</v>
      </c>
    </row>
    <row r="32" spans="1:28" ht="15.75">
      <c r="A32" s="578"/>
      <c r="B32" s="583">
        <f>+B31+1</f>
        <v>14</v>
      </c>
      <c r="C32" s="578"/>
      <c r="D32" s="579" t="s">
        <v>638</v>
      </c>
      <c r="E32" s="578"/>
      <c r="F32" s="600">
        <v>5.75</v>
      </c>
      <c r="G32" s="578"/>
      <c r="H32" s="594">
        <f>+H26</f>
        <v>5.75</v>
      </c>
      <c r="I32" s="594"/>
      <c r="J32" s="594">
        <f>+J26</f>
        <v>5.3650699446256604</v>
      </c>
      <c r="K32" s="578"/>
      <c r="L32" s="593">
        <f>+$L$12*F32</f>
        <v>34.5</v>
      </c>
      <c r="M32" s="578"/>
      <c r="N32" s="600">
        <f>+H32*$N$12</f>
        <v>34.5</v>
      </c>
      <c r="O32" s="578"/>
      <c r="P32" s="578"/>
      <c r="Q32" s="578"/>
      <c r="R32" s="600">
        <f>+J32*$L$12</f>
        <v>32.190419667753964</v>
      </c>
      <c r="S32" s="578"/>
      <c r="T32" s="578"/>
      <c r="U32" s="578"/>
      <c r="V32" s="594">
        <f>+$V$12*H32</f>
        <v>57.5</v>
      </c>
      <c r="X32" s="594">
        <f>+$X$12*H32</f>
        <v>57.5</v>
      </c>
      <c r="AB32" s="594">
        <f>$V$12*J32</f>
        <v>53.6506994462566</v>
      </c>
    </row>
    <row r="33" spans="1:28" ht="15.75">
      <c r="A33" s="578"/>
      <c r="B33" s="583">
        <f>+B32+1</f>
        <v>15</v>
      </c>
      <c r="C33" s="578"/>
      <c r="D33" s="578" t="s">
        <v>79</v>
      </c>
      <c r="E33" s="578"/>
      <c r="F33" s="600">
        <v>9.62</v>
      </c>
      <c r="G33" s="578"/>
      <c r="H33" s="594">
        <f>+H27</f>
        <v>9.62</v>
      </c>
      <c r="I33" s="594"/>
      <c r="J33" s="594">
        <f>+J27</f>
        <v>9.62</v>
      </c>
      <c r="K33" s="578"/>
      <c r="L33" s="599">
        <f>+$L$12*F33</f>
        <v>57.72</v>
      </c>
      <c r="M33" s="578"/>
      <c r="N33" s="601">
        <f>+H33*$N$12</f>
        <v>57.72</v>
      </c>
      <c r="O33" s="578"/>
      <c r="P33" s="578"/>
      <c r="Q33" s="578"/>
      <c r="R33" s="619">
        <f>+J33*$L$12</f>
        <v>57.72</v>
      </c>
      <c r="S33" s="578"/>
      <c r="T33" s="578"/>
      <c r="U33" s="578"/>
      <c r="V33" s="620">
        <f>+$V$12*H33</f>
        <v>96.19999999999999</v>
      </c>
      <c r="X33" s="602">
        <f>+$X$12*H33</f>
        <v>96.19999999999999</v>
      </c>
      <c r="AB33" s="602">
        <f>$V$12*J33</f>
        <v>96.19999999999999</v>
      </c>
    </row>
    <row r="34" spans="1:30" ht="15.75">
      <c r="A34" s="578"/>
      <c r="B34" s="583">
        <f>+B33+1</f>
        <v>16</v>
      </c>
      <c r="C34" s="578"/>
      <c r="D34" s="578" t="s">
        <v>490</v>
      </c>
      <c r="E34" s="578"/>
      <c r="F34" s="600"/>
      <c r="G34" s="578"/>
      <c r="H34" s="594"/>
      <c r="I34" s="594"/>
      <c r="J34" s="594"/>
      <c r="K34" s="578"/>
      <c r="L34" s="603">
        <f>SUM(L31:L33)</f>
        <v>104.72</v>
      </c>
      <c r="M34" s="587"/>
      <c r="N34" s="603">
        <f>SUM(N31:N33)</f>
        <v>104.72</v>
      </c>
      <c r="O34" s="587"/>
      <c r="P34" s="604">
        <f>(N34-L34)/L34</f>
        <v>0</v>
      </c>
      <c r="Q34" s="578"/>
      <c r="R34" s="603">
        <f>SUM(R31:R33)</f>
        <v>105.41041966775396</v>
      </c>
      <c r="S34" s="587"/>
      <c r="T34" s="604">
        <f>(R34-N34)/N34</f>
        <v>0.006593006758536644</v>
      </c>
      <c r="U34" s="578"/>
      <c r="V34" s="603">
        <f>SUM(V31:V33)</f>
        <v>166.2</v>
      </c>
      <c r="X34" s="605">
        <f>SUM(X31:X33)</f>
        <v>166.2</v>
      </c>
      <c r="Z34" s="604">
        <f>(X34-V34)/V34</f>
        <v>0</v>
      </c>
      <c r="AB34" s="605">
        <f>SUM(AB31:AB33)</f>
        <v>165.35069944625658</v>
      </c>
      <c r="AC34" s="227"/>
      <c r="AD34" s="604">
        <f>(AB34-X34)/X34</f>
        <v>-0.005110111635038534</v>
      </c>
    </row>
    <row r="35" spans="1:22" ht="15.75">
      <c r="A35" s="578"/>
      <c r="B35" s="583"/>
      <c r="C35" s="578"/>
      <c r="D35" s="578"/>
      <c r="E35" s="578"/>
      <c r="F35" s="600"/>
      <c r="G35" s="578"/>
      <c r="H35" s="594"/>
      <c r="I35" s="594"/>
      <c r="J35" s="594"/>
      <c r="K35" s="578"/>
      <c r="L35" s="592"/>
      <c r="M35" s="578"/>
      <c r="N35" s="600"/>
      <c r="O35" s="578"/>
      <c r="P35" s="578"/>
      <c r="Q35" s="578"/>
      <c r="R35" s="578"/>
      <c r="S35" s="578"/>
      <c r="T35" s="578"/>
      <c r="U35" s="578"/>
      <c r="V35" s="578"/>
    </row>
    <row r="36" spans="1:22" ht="15.75">
      <c r="A36" s="578"/>
      <c r="B36" s="583"/>
      <c r="C36" s="578"/>
      <c r="D36" s="591" t="s">
        <v>11</v>
      </c>
      <c r="E36" s="578"/>
      <c r="F36" s="600"/>
      <c r="G36" s="578"/>
      <c r="H36" s="594"/>
      <c r="I36" s="594"/>
      <c r="J36" s="594"/>
      <c r="K36" s="578"/>
      <c r="L36" s="592"/>
      <c r="M36" s="578"/>
      <c r="N36" s="600"/>
      <c r="O36" s="578"/>
      <c r="P36" s="578"/>
      <c r="Q36" s="578"/>
      <c r="R36" s="578"/>
      <c r="S36" s="578"/>
      <c r="T36" s="578"/>
      <c r="U36" s="578"/>
      <c r="V36" s="578"/>
    </row>
    <row r="37" spans="1:28" ht="15.75">
      <c r="A37" s="578"/>
      <c r="B37" s="583">
        <f>+B34+1</f>
        <v>17</v>
      </c>
      <c r="C37" s="578"/>
      <c r="D37" s="579" t="s">
        <v>639</v>
      </c>
      <c r="E37" s="578"/>
      <c r="F37" s="600">
        <f>+F31</f>
        <v>12.5</v>
      </c>
      <c r="G37" s="578"/>
      <c r="H37" s="594">
        <f>+H31</f>
        <v>12.5</v>
      </c>
      <c r="I37" s="594"/>
      <c r="J37" s="594">
        <f>+J31</f>
        <v>15.5</v>
      </c>
      <c r="K37" s="578"/>
      <c r="L37" s="593">
        <f>+F37</f>
        <v>12.5</v>
      </c>
      <c r="M37" s="578"/>
      <c r="N37" s="600">
        <f>+H37</f>
        <v>12.5</v>
      </c>
      <c r="O37" s="578"/>
      <c r="P37" s="578"/>
      <c r="Q37" s="578"/>
      <c r="R37" s="600">
        <f>+J37</f>
        <v>15.5</v>
      </c>
      <c r="S37" s="578"/>
      <c r="T37" s="578"/>
      <c r="U37" s="578"/>
      <c r="V37" s="594">
        <f>+H37</f>
        <v>12.5</v>
      </c>
      <c r="X37" s="594">
        <f>+H37</f>
        <v>12.5</v>
      </c>
      <c r="AB37" s="594">
        <f>+J37</f>
        <v>15.5</v>
      </c>
    </row>
    <row r="38" spans="1:28" ht="15.75">
      <c r="A38" s="578"/>
      <c r="B38" s="583">
        <f>+B37+1</f>
        <v>18</v>
      </c>
      <c r="C38" s="578"/>
      <c r="D38" s="579" t="s">
        <v>638</v>
      </c>
      <c r="E38" s="578"/>
      <c r="F38" s="600">
        <f>+F32</f>
        <v>5.75</v>
      </c>
      <c r="G38" s="578"/>
      <c r="H38" s="594">
        <f>+H32</f>
        <v>5.75</v>
      </c>
      <c r="I38" s="594"/>
      <c r="J38" s="594">
        <f>+J32</f>
        <v>5.3650699446256604</v>
      </c>
      <c r="K38" s="578"/>
      <c r="L38" s="593">
        <f>+$L$12*F38</f>
        <v>34.5</v>
      </c>
      <c r="M38" s="578"/>
      <c r="N38" s="600">
        <f>+H38*$N$12</f>
        <v>34.5</v>
      </c>
      <c r="O38" s="578"/>
      <c r="P38" s="578"/>
      <c r="Q38" s="578"/>
      <c r="R38" s="600">
        <f>+J38*$L$12</f>
        <v>32.190419667753964</v>
      </c>
      <c r="S38" s="578"/>
      <c r="T38" s="578"/>
      <c r="U38" s="578"/>
      <c r="V38" s="594">
        <f>+$V$12*H38</f>
        <v>57.5</v>
      </c>
      <c r="X38" s="594">
        <f>+$X$12*H38</f>
        <v>57.5</v>
      </c>
      <c r="AB38" s="594">
        <f>$V$12*J38</f>
        <v>53.6506994462566</v>
      </c>
    </row>
    <row r="39" spans="1:28" ht="15.75">
      <c r="A39" s="578"/>
      <c r="B39" s="583">
        <f>+B38+1</f>
        <v>19</v>
      </c>
      <c r="C39" s="578"/>
      <c r="D39" s="578" t="s">
        <v>79</v>
      </c>
      <c r="E39" s="578"/>
      <c r="F39" s="600">
        <f>+F33</f>
        <v>9.62</v>
      </c>
      <c r="G39" s="578"/>
      <c r="H39" s="594">
        <f>+H33</f>
        <v>9.62</v>
      </c>
      <c r="I39" s="594"/>
      <c r="J39" s="594">
        <f>+J33</f>
        <v>9.62</v>
      </c>
      <c r="K39" s="578"/>
      <c r="L39" s="599">
        <f>+$L$12*F39</f>
        <v>57.72</v>
      </c>
      <c r="M39" s="578"/>
      <c r="N39" s="601">
        <f>+H39*$N$12</f>
        <v>57.72</v>
      </c>
      <c r="O39" s="578"/>
      <c r="P39" s="578"/>
      <c r="Q39" s="578"/>
      <c r="R39" s="619">
        <f>+J39*$L$12</f>
        <v>57.72</v>
      </c>
      <c r="S39" s="578"/>
      <c r="T39" s="578"/>
      <c r="U39" s="578"/>
      <c r="V39" s="620">
        <f>+$V$12*H39</f>
        <v>96.19999999999999</v>
      </c>
      <c r="X39" s="602">
        <f>+$X$12*H39</f>
        <v>96.19999999999999</v>
      </c>
      <c r="AB39" s="602">
        <f>$V$12*J39</f>
        <v>96.19999999999999</v>
      </c>
    </row>
    <row r="40" spans="1:30" ht="15.75">
      <c r="A40" s="578"/>
      <c r="B40" s="583">
        <f>+B39+1</f>
        <v>20</v>
      </c>
      <c r="C40" s="578"/>
      <c r="D40" s="578" t="s">
        <v>490</v>
      </c>
      <c r="E40" s="578"/>
      <c r="F40" s="578"/>
      <c r="G40" s="578"/>
      <c r="H40" s="594"/>
      <c r="I40" s="594"/>
      <c r="J40" s="594"/>
      <c r="K40" s="578"/>
      <c r="L40" s="603">
        <f>SUM(L37:L39)</f>
        <v>104.72</v>
      </c>
      <c r="M40" s="587"/>
      <c r="N40" s="603">
        <f>SUM(N37:N39)</f>
        <v>104.72</v>
      </c>
      <c r="O40" s="587"/>
      <c r="P40" s="604">
        <f>(N40-L40)/L40</f>
        <v>0</v>
      </c>
      <c r="Q40" s="578"/>
      <c r="R40" s="603">
        <f>SUM(R37:R39)</f>
        <v>105.41041966775396</v>
      </c>
      <c r="S40" s="587"/>
      <c r="T40" s="604">
        <f>(R40-N40)/N40</f>
        <v>0.006593006758536644</v>
      </c>
      <c r="U40" s="578"/>
      <c r="V40" s="603">
        <f>SUM(V37:V39)</f>
        <v>166.2</v>
      </c>
      <c r="X40" s="605">
        <f>SUM(X37:X39)</f>
        <v>166.2</v>
      </c>
      <c r="Z40" s="604">
        <f>(X40-V40)/V40</f>
        <v>0</v>
      </c>
      <c r="AB40" s="605">
        <f>SUM(AB37:AB39)</f>
        <v>165.35069944625658</v>
      </c>
      <c r="AC40" s="227"/>
      <c r="AD40" s="604">
        <f>(AB40-X40)/X40</f>
        <v>-0.005110111635038534</v>
      </c>
    </row>
    <row r="41" spans="1:22" ht="15.75">
      <c r="A41" s="578"/>
      <c r="B41" s="578"/>
      <c r="C41" s="578"/>
      <c r="D41" s="578"/>
      <c r="E41" s="578"/>
      <c r="F41" s="578"/>
      <c r="G41" s="578"/>
      <c r="H41" s="594"/>
      <c r="I41" s="594"/>
      <c r="J41" s="594"/>
      <c r="K41" s="578"/>
      <c r="L41" s="592"/>
      <c r="M41" s="578"/>
      <c r="N41" s="600"/>
      <c r="O41" s="578"/>
      <c r="P41" s="578"/>
      <c r="Q41" s="578"/>
      <c r="R41" s="578"/>
      <c r="S41" s="578"/>
      <c r="T41" s="578"/>
      <c r="U41" s="578"/>
      <c r="V41" s="578"/>
    </row>
    <row r="42" spans="1:22" ht="15.75">
      <c r="A42" s="578"/>
      <c r="B42" s="578"/>
      <c r="C42" s="578"/>
      <c r="D42" s="578"/>
      <c r="E42" s="578"/>
      <c r="F42" s="578"/>
      <c r="G42" s="578"/>
      <c r="H42" s="594"/>
      <c r="I42" s="594"/>
      <c r="J42" s="594"/>
      <c r="K42" s="578"/>
      <c r="L42" s="592"/>
      <c r="M42" s="578"/>
      <c r="N42" s="600"/>
      <c r="O42" s="578"/>
      <c r="P42" s="578"/>
      <c r="Q42" s="578"/>
      <c r="R42" s="578"/>
      <c r="S42" s="578"/>
      <c r="T42" s="578"/>
      <c r="U42" s="578"/>
      <c r="V42" s="578"/>
    </row>
    <row r="43" spans="1:22" ht="15.75">
      <c r="A43" s="578"/>
      <c r="B43" s="578"/>
      <c r="C43" s="578"/>
      <c r="D43" s="578"/>
      <c r="E43" s="578"/>
      <c r="F43" s="578"/>
      <c r="G43" s="578"/>
      <c r="H43" s="594"/>
      <c r="I43" s="594"/>
      <c r="J43" s="594"/>
      <c r="K43" s="578"/>
      <c r="L43" s="592"/>
      <c r="M43" s="578"/>
      <c r="N43" s="600"/>
      <c r="O43" s="578"/>
      <c r="P43" s="578"/>
      <c r="Q43" s="578"/>
      <c r="R43" s="578"/>
      <c r="S43" s="578"/>
      <c r="T43" s="578"/>
      <c r="U43" s="578"/>
      <c r="V43" s="578"/>
    </row>
    <row r="44" spans="1:22" ht="15.75">
      <c r="A44" s="578"/>
      <c r="B44" s="578"/>
      <c r="C44" s="578"/>
      <c r="D44" s="578"/>
      <c r="E44" s="578"/>
      <c r="F44" s="578"/>
      <c r="G44" s="578"/>
      <c r="H44" s="594"/>
      <c r="I44" s="594"/>
      <c r="J44" s="594"/>
      <c r="K44" s="578"/>
      <c r="L44" s="578"/>
      <c r="M44" s="578"/>
      <c r="N44" s="600"/>
      <c r="O44" s="578"/>
      <c r="P44" s="578"/>
      <c r="Q44" s="578"/>
      <c r="R44" s="578"/>
      <c r="S44" s="578"/>
      <c r="T44" s="578"/>
      <c r="U44" s="578"/>
      <c r="V44" s="578"/>
    </row>
    <row r="45" spans="1:22" ht="15.75">
      <c r="A45" s="578"/>
      <c r="B45" s="578"/>
      <c r="C45" s="578"/>
      <c r="D45" s="578"/>
      <c r="E45" s="578"/>
      <c r="F45" s="578"/>
      <c r="G45" s="578"/>
      <c r="H45" s="594"/>
      <c r="I45" s="594"/>
      <c r="J45" s="594"/>
      <c r="K45" s="578"/>
      <c r="L45" s="578"/>
      <c r="M45" s="578"/>
      <c r="N45" s="600"/>
      <c r="O45" s="578"/>
      <c r="P45" s="578"/>
      <c r="Q45" s="578"/>
      <c r="R45" s="578"/>
      <c r="S45" s="578"/>
      <c r="T45" s="578"/>
      <c r="U45" s="578"/>
      <c r="V45" s="578"/>
    </row>
    <row r="46" spans="1:22" ht="15.75">
      <c r="A46" s="578"/>
      <c r="B46" s="578"/>
      <c r="C46" s="578"/>
      <c r="D46" s="578"/>
      <c r="E46" s="578"/>
      <c r="F46" s="578"/>
      <c r="G46" s="578"/>
      <c r="H46" s="594"/>
      <c r="I46" s="594"/>
      <c r="J46" s="594"/>
      <c r="K46" s="578"/>
      <c r="L46" s="578"/>
      <c r="M46" s="578"/>
      <c r="N46" s="600"/>
      <c r="O46" s="578"/>
      <c r="P46" s="578"/>
      <c r="Q46" s="578"/>
      <c r="R46" s="578"/>
      <c r="S46" s="578"/>
      <c r="T46" s="578"/>
      <c r="U46" s="578"/>
      <c r="V46" s="578"/>
    </row>
    <row r="47" spans="1:22" ht="15.75">
      <c r="A47" s="578"/>
      <c r="B47" s="578"/>
      <c r="C47" s="578"/>
      <c r="D47" s="578"/>
      <c r="E47" s="578"/>
      <c r="F47" s="578"/>
      <c r="G47" s="578"/>
      <c r="H47" s="594"/>
      <c r="I47" s="594"/>
      <c r="J47" s="594"/>
      <c r="K47" s="578"/>
      <c r="L47" s="578"/>
      <c r="M47" s="578"/>
      <c r="N47" s="600"/>
      <c r="O47" s="578"/>
      <c r="P47" s="578"/>
      <c r="Q47" s="578"/>
      <c r="R47" s="578"/>
      <c r="S47" s="578"/>
      <c r="T47" s="578"/>
      <c r="U47" s="578"/>
      <c r="V47" s="578"/>
    </row>
    <row r="48" spans="1:22" ht="15.75">
      <c r="A48" s="578"/>
      <c r="B48" s="578"/>
      <c r="C48" s="578"/>
      <c r="D48" s="578"/>
      <c r="E48" s="578"/>
      <c r="F48" s="578"/>
      <c r="G48" s="578"/>
      <c r="H48" s="594"/>
      <c r="I48" s="594"/>
      <c r="J48" s="594"/>
      <c r="K48" s="578"/>
      <c r="L48" s="578"/>
      <c r="M48" s="578"/>
      <c r="N48" s="600"/>
      <c r="O48" s="578"/>
      <c r="P48" s="578"/>
      <c r="Q48" s="578"/>
      <c r="R48" s="578"/>
      <c r="S48" s="578"/>
      <c r="T48" s="578"/>
      <c r="U48" s="578"/>
      <c r="V48" s="578"/>
    </row>
    <row r="49" spans="1:22" ht="15.75">
      <c r="A49" s="578"/>
      <c r="B49" s="578"/>
      <c r="C49" s="578"/>
      <c r="D49" s="578"/>
      <c r="E49" s="578"/>
      <c r="F49" s="578"/>
      <c r="G49" s="578"/>
      <c r="H49" s="594"/>
      <c r="I49" s="594"/>
      <c r="J49" s="594"/>
      <c r="K49" s="578"/>
      <c r="L49" s="578"/>
      <c r="M49" s="578"/>
      <c r="N49" s="600"/>
      <c r="O49" s="578"/>
      <c r="P49" s="578"/>
      <c r="Q49" s="578"/>
      <c r="R49" s="578"/>
      <c r="S49" s="578"/>
      <c r="T49" s="578"/>
      <c r="U49" s="578"/>
      <c r="V49" s="578"/>
    </row>
    <row r="50" spans="1:22" ht="15.75">
      <c r="A50" s="578"/>
      <c r="B50" s="578"/>
      <c r="C50" s="578"/>
      <c r="D50" s="578"/>
      <c r="E50" s="578"/>
      <c r="F50" s="578"/>
      <c r="G50" s="578"/>
      <c r="H50" s="594"/>
      <c r="I50" s="594"/>
      <c r="J50" s="594"/>
      <c r="K50" s="578"/>
      <c r="L50" s="578"/>
      <c r="M50" s="578"/>
      <c r="N50" s="600"/>
      <c r="O50" s="578"/>
      <c r="P50" s="578"/>
      <c r="Q50" s="578"/>
      <c r="R50" s="578"/>
      <c r="S50" s="578"/>
      <c r="T50" s="578"/>
      <c r="U50" s="578"/>
      <c r="V50" s="578"/>
    </row>
    <row r="51" spans="1:22" ht="15.75">
      <c r="A51" s="578"/>
      <c r="B51" s="578"/>
      <c r="C51" s="578"/>
      <c r="D51" s="578"/>
      <c r="E51" s="578"/>
      <c r="F51" s="578"/>
      <c r="G51" s="578"/>
      <c r="H51" s="594"/>
      <c r="I51" s="594"/>
      <c r="J51" s="594"/>
      <c r="K51" s="578"/>
      <c r="L51" s="578"/>
      <c r="M51" s="578"/>
      <c r="N51" s="600"/>
      <c r="O51" s="578"/>
      <c r="P51" s="578"/>
      <c r="Q51" s="578"/>
      <c r="R51" s="578"/>
      <c r="S51" s="578"/>
      <c r="T51" s="578"/>
      <c r="U51" s="578"/>
      <c r="V51" s="578"/>
    </row>
    <row r="52" spans="1:22" ht="15.75">
      <c r="A52" s="578"/>
      <c r="B52" s="578"/>
      <c r="C52" s="578"/>
      <c r="D52" s="578"/>
      <c r="E52" s="578"/>
      <c r="F52" s="578"/>
      <c r="G52" s="578"/>
      <c r="H52" s="594"/>
      <c r="I52" s="594"/>
      <c r="J52" s="594"/>
      <c r="K52" s="578"/>
      <c r="L52" s="578"/>
      <c r="M52" s="578"/>
      <c r="N52" s="600"/>
      <c r="O52" s="578"/>
      <c r="P52" s="578"/>
      <c r="Q52" s="578"/>
      <c r="R52" s="578"/>
      <c r="S52" s="578"/>
      <c r="T52" s="578"/>
      <c r="U52" s="578"/>
      <c r="V52" s="578"/>
    </row>
    <row r="53" spans="1:22" ht="15.75">
      <c r="A53" s="578"/>
      <c r="B53" s="578"/>
      <c r="C53" s="578"/>
      <c r="D53" s="578"/>
      <c r="E53" s="578"/>
      <c r="F53" s="578"/>
      <c r="G53" s="578"/>
      <c r="H53" s="594"/>
      <c r="I53" s="594"/>
      <c r="J53" s="594"/>
      <c r="K53" s="578"/>
      <c r="L53" s="578"/>
      <c r="M53" s="578"/>
      <c r="N53" s="600"/>
      <c r="O53" s="578"/>
      <c r="P53" s="578"/>
      <c r="Q53" s="578"/>
      <c r="R53" s="578"/>
      <c r="S53" s="578"/>
      <c r="T53" s="578"/>
      <c r="U53" s="578"/>
      <c r="V53" s="578"/>
    </row>
    <row r="54" spans="1:22" ht="15.75">
      <c r="A54" s="578"/>
      <c r="B54" s="578"/>
      <c r="C54" s="578"/>
      <c r="D54" s="578"/>
      <c r="E54" s="578"/>
      <c r="F54" s="578"/>
      <c r="G54" s="578"/>
      <c r="H54" s="594"/>
      <c r="I54" s="594"/>
      <c r="J54" s="594"/>
      <c r="K54" s="578"/>
      <c r="L54" s="578"/>
      <c r="M54" s="578"/>
      <c r="N54" s="600"/>
      <c r="O54" s="578"/>
      <c r="P54" s="578"/>
      <c r="Q54" s="578"/>
      <c r="R54" s="578"/>
      <c r="S54" s="578"/>
      <c r="T54" s="578"/>
      <c r="U54" s="578"/>
      <c r="V54" s="578"/>
    </row>
    <row r="55" spans="1:22" ht="15.75">
      <c r="A55" s="578"/>
      <c r="B55" s="578"/>
      <c r="C55" s="578"/>
      <c r="D55" s="578"/>
      <c r="E55" s="578"/>
      <c r="F55" s="578"/>
      <c r="G55" s="578"/>
      <c r="H55" s="594"/>
      <c r="I55" s="594"/>
      <c r="J55" s="594"/>
      <c r="K55" s="578"/>
      <c r="L55" s="578"/>
      <c r="M55" s="578"/>
      <c r="N55" s="600"/>
      <c r="O55" s="578"/>
      <c r="P55" s="578"/>
      <c r="Q55" s="578"/>
      <c r="R55" s="578"/>
      <c r="S55" s="578"/>
      <c r="T55" s="578"/>
      <c r="U55" s="578"/>
      <c r="V55" s="578"/>
    </row>
    <row r="56" spans="1:22" ht="15.75">
      <c r="A56" s="578"/>
      <c r="B56" s="578"/>
      <c r="C56" s="578"/>
      <c r="D56" s="578"/>
      <c r="E56" s="578"/>
      <c r="F56" s="578"/>
      <c r="G56" s="578"/>
      <c r="H56" s="594"/>
      <c r="I56" s="594"/>
      <c r="J56" s="594"/>
      <c r="K56" s="578"/>
      <c r="L56" s="578"/>
      <c r="M56" s="578"/>
      <c r="N56" s="600"/>
      <c r="O56" s="578"/>
      <c r="P56" s="578"/>
      <c r="Q56" s="578"/>
      <c r="R56" s="578"/>
      <c r="S56" s="578"/>
      <c r="T56" s="578"/>
      <c r="U56" s="578"/>
      <c r="V56" s="578"/>
    </row>
    <row r="57" spans="1:22" ht="15.75">
      <c r="A57" s="578"/>
      <c r="B57" s="578"/>
      <c r="C57" s="578"/>
      <c r="D57" s="578"/>
      <c r="E57" s="578"/>
      <c r="F57" s="578"/>
      <c r="G57" s="578"/>
      <c r="H57" s="578"/>
      <c r="I57" s="578"/>
      <c r="J57" s="578"/>
      <c r="K57" s="578"/>
      <c r="L57" s="578"/>
      <c r="M57" s="578"/>
      <c r="N57" s="600"/>
      <c r="O57" s="578"/>
      <c r="P57" s="578"/>
      <c r="Q57" s="578"/>
      <c r="R57" s="578"/>
      <c r="S57" s="578"/>
      <c r="T57" s="578"/>
      <c r="U57" s="578"/>
      <c r="V57" s="578"/>
    </row>
    <row r="58" spans="1:22" ht="15.75">
      <c r="A58" s="578"/>
      <c r="B58" s="578"/>
      <c r="C58" s="578"/>
      <c r="D58" s="578"/>
      <c r="E58" s="578"/>
      <c r="F58" s="578"/>
      <c r="G58" s="578"/>
      <c r="H58" s="578"/>
      <c r="I58" s="578"/>
      <c r="J58" s="578"/>
      <c r="K58" s="578"/>
      <c r="L58" s="578"/>
      <c r="M58" s="578"/>
      <c r="N58" s="578"/>
      <c r="O58" s="578"/>
      <c r="P58" s="578"/>
      <c r="Q58" s="578"/>
      <c r="R58" s="578"/>
      <c r="S58" s="578"/>
      <c r="T58" s="578"/>
      <c r="U58" s="578"/>
      <c r="V58" s="578"/>
    </row>
    <row r="59" spans="1:22" ht="15.75">
      <c r="A59" s="578"/>
      <c r="B59" s="578"/>
      <c r="C59" s="578"/>
      <c r="D59" s="578"/>
      <c r="E59" s="578"/>
      <c r="F59" s="578"/>
      <c r="G59" s="578"/>
      <c r="H59" s="578"/>
      <c r="I59" s="578"/>
      <c r="J59" s="578"/>
      <c r="K59" s="578"/>
      <c r="L59" s="578"/>
      <c r="M59" s="578"/>
      <c r="N59" s="578"/>
      <c r="O59" s="578"/>
      <c r="P59" s="578"/>
      <c r="Q59" s="578"/>
      <c r="R59" s="578"/>
      <c r="S59" s="578"/>
      <c r="T59" s="578"/>
      <c r="U59" s="578"/>
      <c r="V59" s="578"/>
    </row>
    <row r="60" spans="1:22" ht="15.75">
      <c r="A60" s="578"/>
      <c r="B60" s="578"/>
      <c r="C60" s="578"/>
      <c r="D60" s="578"/>
      <c r="E60" s="578"/>
      <c r="F60" s="578"/>
      <c r="G60" s="578"/>
      <c r="H60" s="578"/>
      <c r="I60" s="578"/>
      <c r="J60" s="578"/>
      <c r="K60" s="578"/>
      <c r="L60" s="578"/>
      <c r="M60" s="578"/>
      <c r="N60" s="578"/>
      <c r="O60" s="578"/>
      <c r="P60" s="578"/>
      <c r="Q60" s="578"/>
      <c r="R60" s="578"/>
      <c r="S60" s="578"/>
      <c r="T60" s="578"/>
      <c r="U60" s="578"/>
      <c r="V60" s="578"/>
    </row>
    <row r="61" spans="1:22" ht="15.75">
      <c r="A61" s="578"/>
      <c r="B61" s="578"/>
      <c r="C61" s="578"/>
      <c r="D61" s="578"/>
      <c r="E61" s="578"/>
      <c r="F61" s="578"/>
      <c r="G61" s="578"/>
      <c r="H61" s="578"/>
      <c r="I61" s="578"/>
      <c r="J61" s="578"/>
      <c r="K61" s="578"/>
      <c r="L61" s="578"/>
      <c r="M61" s="578"/>
      <c r="N61" s="578"/>
      <c r="O61" s="578"/>
      <c r="P61" s="578"/>
      <c r="Q61" s="578"/>
      <c r="R61" s="578"/>
      <c r="S61" s="578"/>
      <c r="T61" s="578"/>
      <c r="U61" s="578"/>
      <c r="V61" s="578"/>
    </row>
    <row r="62" spans="1:22" ht="15.75">
      <c r="A62" s="578"/>
      <c r="B62" s="578"/>
      <c r="C62" s="578"/>
      <c r="D62" s="578"/>
      <c r="E62" s="578"/>
      <c r="F62" s="578"/>
      <c r="G62" s="578"/>
      <c r="H62" s="578"/>
      <c r="I62" s="578"/>
      <c r="J62" s="578"/>
      <c r="K62" s="578"/>
      <c r="L62" s="578"/>
      <c r="M62" s="578"/>
      <c r="N62" s="578"/>
      <c r="O62" s="578"/>
      <c r="P62" s="578"/>
      <c r="Q62" s="578"/>
      <c r="R62" s="578"/>
      <c r="S62" s="578"/>
      <c r="T62" s="578"/>
      <c r="U62" s="578"/>
      <c r="V62" s="578"/>
    </row>
    <row r="63" spans="1:22" ht="15.75">
      <c r="A63" s="578"/>
      <c r="B63" s="578"/>
      <c r="C63" s="578"/>
      <c r="D63" s="578"/>
      <c r="E63" s="578"/>
      <c r="F63" s="578"/>
      <c r="G63" s="578"/>
      <c r="H63" s="578"/>
      <c r="I63" s="578"/>
      <c r="J63" s="578"/>
      <c r="K63" s="578"/>
      <c r="L63" s="578"/>
      <c r="M63" s="578"/>
      <c r="N63" s="578"/>
      <c r="O63" s="578"/>
      <c r="P63" s="578"/>
      <c r="Q63" s="578"/>
      <c r="R63" s="578"/>
      <c r="S63" s="578"/>
      <c r="T63" s="578"/>
      <c r="U63" s="578"/>
      <c r="V63" s="578"/>
    </row>
    <row r="64" spans="1:22" ht="15.75">
      <c r="A64" s="578"/>
      <c r="B64" s="578"/>
      <c r="C64" s="578"/>
      <c r="D64" s="578"/>
      <c r="E64" s="578"/>
      <c r="F64" s="578"/>
      <c r="G64" s="578"/>
      <c r="H64" s="578"/>
      <c r="I64" s="578"/>
      <c r="J64" s="578"/>
      <c r="K64" s="578"/>
      <c r="L64" s="578"/>
      <c r="M64" s="578"/>
      <c r="N64" s="578"/>
      <c r="O64" s="578"/>
      <c r="P64" s="578"/>
      <c r="Q64" s="578"/>
      <c r="R64" s="578"/>
      <c r="S64" s="578"/>
      <c r="T64" s="578"/>
      <c r="U64" s="578"/>
      <c r="V64" s="578"/>
    </row>
    <row r="65" spans="1:22" ht="15.75">
      <c r="A65" s="578"/>
      <c r="B65" s="578"/>
      <c r="C65" s="578"/>
      <c r="D65" s="578"/>
      <c r="E65" s="578"/>
      <c r="F65" s="578"/>
      <c r="G65" s="578"/>
      <c r="H65" s="578"/>
      <c r="I65" s="578"/>
      <c r="J65" s="578"/>
      <c r="K65" s="578"/>
      <c r="L65" s="578"/>
      <c r="M65" s="578"/>
      <c r="N65" s="578"/>
      <c r="O65" s="578"/>
      <c r="P65" s="578"/>
      <c r="Q65" s="578"/>
      <c r="R65" s="578"/>
      <c r="S65" s="578"/>
      <c r="T65" s="578"/>
      <c r="U65" s="578"/>
      <c r="V65" s="578"/>
    </row>
    <row r="66" spans="1:22" ht="15.75">
      <c r="A66" s="578"/>
      <c r="B66" s="578"/>
      <c r="C66" s="578"/>
      <c r="D66" s="578"/>
      <c r="E66" s="578"/>
      <c r="F66" s="578"/>
      <c r="G66" s="578"/>
      <c r="H66" s="578"/>
      <c r="I66" s="578"/>
      <c r="J66" s="578"/>
      <c r="K66" s="578"/>
      <c r="L66" s="578"/>
      <c r="M66" s="578"/>
      <c r="N66" s="578"/>
      <c r="O66" s="578"/>
      <c r="P66" s="578"/>
      <c r="Q66" s="578"/>
      <c r="R66" s="578"/>
      <c r="S66" s="578"/>
      <c r="T66" s="578"/>
      <c r="U66" s="578"/>
      <c r="V66" s="578"/>
    </row>
    <row r="67" spans="1:22" ht="15.75">
      <c r="A67" s="578"/>
      <c r="B67" s="578"/>
      <c r="C67" s="578"/>
      <c r="D67" s="578"/>
      <c r="E67" s="578"/>
      <c r="F67" s="578"/>
      <c r="G67" s="578"/>
      <c r="H67" s="578"/>
      <c r="I67" s="578"/>
      <c r="J67" s="578"/>
      <c r="K67" s="578"/>
      <c r="L67" s="578"/>
      <c r="M67" s="578"/>
      <c r="N67" s="578"/>
      <c r="O67" s="578"/>
      <c r="P67" s="578"/>
      <c r="Q67" s="578"/>
      <c r="R67" s="578"/>
      <c r="S67" s="578"/>
      <c r="T67" s="578"/>
      <c r="U67" s="578"/>
      <c r="V67" s="578"/>
    </row>
    <row r="68" spans="1:22" ht="15.75">
      <c r="A68" s="578"/>
      <c r="B68" s="578"/>
      <c r="C68" s="578"/>
      <c r="D68" s="578"/>
      <c r="E68" s="578"/>
      <c r="F68" s="578"/>
      <c r="G68" s="578"/>
      <c r="H68" s="578"/>
      <c r="I68" s="578"/>
      <c r="J68" s="578"/>
      <c r="K68" s="578"/>
      <c r="L68" s="578"/>
      <c r="M68" s="578"/>
      <c r="N68" s="578"/>
      <c r="O68" s="578"/>
      <c r="P68" s="578"/>
      <c r="Q68" s="578"/>
      <c r="R68" s="578"/>
      <c r="S68" s="578"/>
      <c r="T68" s="578"/>
      <c r="U68" s="578"/>
      <c r="V68" s="578"/>
    </row>
    <row r="69" spans="1:22" ht="15.75">
      <c r="A69" s="578"/>
      <c r="B69" s="578"/>
      <c r="C69" s="578"/>
      <c r="D69" s="578"/>
      <c r="E69" s="578"/>
      <c r="F69" s="578"/>
      <c r="G69" s="578"/>
      <c r="H69" s="578"/>
      <c r="I69" s="578"/>
      <c r="J69" s="578"/>
      <c r="K69" s="578"/>
      <c r="L69" s="578"/>
      <c r="M69" s="578"/>
      <c r="N69" s="578"/>
      <c r="O69" s="578"/>
      <c r="P69" s="578"/>
      <c r="Q69" s="578"/>
      <c r="R69" s="578"/>
      <c r="S69" s="578"/>
      <c r="T69" s="578"/>
      <c r="U69" s="578"/>
      <c r="V69" s="578"/>
    </row>
    <row r="70" spans="1:22" ht="15.75">
      <c r="A70" s="578"/>
      <c r="B70" s="578"/>
      <c r="C70" s="578"/>
      <c r="D70" s="578"/>
      <c r="E70" s="578"/>
      <c r="F70" s="578"/>
      <c r="G70" s="578"/>
      <c r="H70" s="578"/>
      <c r="I70" s="578"/>
      <c r="J70" s="578"/>
      <c r="K70" s="578"/>
      <c r="L70" s="578"/>
      <c r="M70" s="578"/>
      <c r="N70" s="578"/>
      <c r="O70" s="578"/>
      <c r="P70" s="578"/>
      <c r="Q70" s="578"/>
      <c r="R70" s="578"/>
      <c r="S70" s="578"/>
      <c r="T70" s="578"/>
      <c r="U70" s="578"/>
      <c r="V70" s="578"/>
    </row>
    <row r="71" spans="1:22" ht="15.75">
      <c r="A71" s="578"/>
      <c r="B71" s="578"/>
      <c r="C71" s="578"/>
      <c r="D71" s="578"/>
      <c r="E71" s="578"/>
      <c r="F71" s="578"/>
      <c r="G71" s="578"/>
      <c r="H71" s="578"/>
      <c r="I71" s="578"/>
      <c r="J71" s="578"/>
      <c r="K71" s="578"/>
      <c r="L71" s="578"/>
      <c r="M71" s="578"/>
      <c r="N71" s="578"/>
      <c r="O71" s="578"/>
      <c r="P71" s="578"/>
      <c r="Q71" s="578"/>
      <c r="R71" s="578"/>
      <c r="S71" s="578"/>
      <c r="T71" s="578"/>
      <c r="U71" s="578"/>
      <c r="V71" s="578"/>
    </row>
    <row r="72" spans="1:22" ht="15.75">
      <c r="A72" s="578"/>
      <c r="B72" s="578"/>
      <c r="C72" s="578"/>
      <c r="D72" s="578"/>
      <c r="E72" s="578"/>
      <c r="F72" s="578"/>
      <c r="G72" s="578"/>
      <c r="H72" s="578"/>
      <c r="I72" s="578"/>
      <c r="J72" s="578"/>
      <c r="K72" s="578"/>
      <c r="L72" s="578"/>
      <c r="M72" s="578"/>
      <c r="N72" s="578"/>
      <c r="O72" s="578"/>
      <c r="P72" s="578"/>
      <c r="Q72" s="578"/>
      <c r="R72" s="578"/>
      <c r="S72" s="578"/>
      <c r="T72" s="578"/>
      <c r="U72" s="578"/>
      <c r="V72" s="578"/>
    </row>
    <row r="73" spans="1:22" ht="15.75">
      <c r="A73" s="578"/>
      <c r="B73" s="578"/>
      <c r="C73" s="578"/>
      <c r="D73" s="578"/>
      <c r="E73" s="578"/>
      <c r="F73" s="578"/>
      <c r="G73" s="578"/>
      <c r="H73" s="578"/>
      <c r="I73" s="578"/>
      <c r="J73" s="578"/>
      <c r="K73" s="578"/>
      <c r="L73" s="578"/>
      <c r="M73" s="578"/>
      <c r="N73" s="578"/>
      <c r="O73" s="578"/>
      <c r="P73" s="578"/>
      <c r="Q73" s="578"/>
      <c r="R73" s="578"/>
      <c r="S73" s="578"/>
      <c r="T73" s="578"/>
      <c r="U73" s="578"/>
      <c r="V73" s="578"/>
    </row>
    <row r="74" spans="1:22" ht="15.75">
      <c r="A74" s="578"/>
      <c r="B74" s="578"/>
      <c r="C74" s="578"/>
      <c r="D74" s="578"/>
      <c r="E74" s="578"/>
      <c r="F74" s="578"/>
      <c r="G74" s="578"/>
      <c r="H74" s="578"/>
      <c r="I74" s="578"/>
      <c r="J74" s="578"/>
      <c r="K74" s="578"/>
      <c r="L74" s="578"/>
      <c r="M74" s="578"/>
      <c r="N74" s="578"/>
      <c r="O74" s="578"/>
      <c r="P74" s="578"/>
      <c r="Q74" s="578"/>
      <c r="R74" s="578"/>
      <c r="S74" s="578"/>
      <c r="T74" s="578"/>
      <c r="U74" s="578"/>
      <c r="V74" s="578"/>
    </row>
    <row r="75" spans="1:22" ht="15.75">
      <c r="A75" s="578"/>
      <c r="B75" s="578"/>
      <c r="C75" s="578"/>
      <c r="D75" s="578"/>
      <c r="E75" s="578"/>
      <c r="F75" s="578"/>
      <c r="G75" s="578"/>
      <c r="H75" s="578"/>
      <c r="I75" s="578"/>
      <c r="J75" s="578"/>
      <c r="K75" s="578"/>
      <c r="L75" s="578"/>
      <c r="M75" s="578"/>
      <c r="N75" s="578"/>
      <c r="O75" s="578"/>
      <c r="P75" s="578"/>
      <c r="Q75" s="578"/>
      <c r="R75" s="578"/>
      <c r="S75" s="578"/>
      <c r="T75" s="578"/>
      <c r="U75" s="578"/>
      <c r="V75" s="578"/>
    </row>
    <row r="76" spans="1:22" ht="15.75">
      <c r="A76" s="578"/>
      <c r="B76" s="578"/>
      <c r="C76" s="578"/>
      <c r="D76" s="578"/>
      <c r="E76" s="578"/>
      <c r="F76" s="578"/>
      <c r="G76" s="578"/>
      <c r="H76" s="578"/>
      <c r="I76" s="578"/>
      <c r="J76" s="578"/>
      <c r="K76" s="578"/>
      <c r="L76" s="578"/>
      <c r="M76" s="578"/>
      <c r="N76" s="578"/>
      <c r="O76" s="578"/>
      <c r="P76" s="578"/>
      <c r="Q76" s="578"/>
      <c r="R76" s="578"/>
      <c r="S76" s="578"/>
      <c r="T76" s="578"/>
      <c r="U76" s="578"/>
      <c r="V76" s="578"/>
    </row>
    <row r="77" spans="1:22" ht="15.75">
      <c r="A77" s="578"/>
      <c r="B77" s="578"/>
      <c r="C77" s="578"/>
      <c r="D77" s="578"/>
      <c r="E77" s="578"/>
      <c r="F77" s="578"/>
      <c r="G77" s="578"/>
      <c r="H77" s="578"/>
      <c r="I77" s="578"/>
      <c r="J77" s="578"/>
      <c r="K77" s="578"/>
      <c r="L77" s="578"/>
      <c r="M77" s="578"/>
      <c r="N77" s="578"/>
      <c r="O77" s="578"/>
      <c r="P77" s="578"/>
      <c r="Q77" s="578"/>
      <c r="R77" s="578"/>
      <c r="S77" s="578"/>
      <c r="T77" s="578"/>
      <c r="U77" s="578"/>
      <c r="V77" s="578"/>
    </row>
    <row r="78" spans="1:22" ht="15.75">
      <c r="A78" s="578"/>
      <c r="B78" s="578"/>
      <c r="C78" s="578"/>
      <c r="D78" s="578"/>
      <c r="E78" s="578"/>
      <c r="F78" s="578"/>
      <c r="G78" s="578"/>
      <c r="H78" s="578"/>
      <c r="I78" s="578"/>
      <c r="J78" s="578"/>
      <c r="K78" s="578"/>
      <c r="L78" s="578"/>
      <c r="M78" s="578"/>
      <c r="N78" s="578"/>
      <c r="O78" s="578"/>
      <c r="P78" s="578"/>
      <c r="Q78" s="578"/>
      <c r="R78" s="578"/>
      <c r="S78" s="578"/>
      <c r="T78" s="578"/>
      <c r="U78" s="578"/>
      <c r="V78" s="578"/>
    </row>
    <row r="79" spans="1:22" ht="15.75">
      <c r="A79" s="578"/>
      <c r="B79" s="578"/>
      <c r="C79" s="578"/>
      <c r="D79" s="578"/>
      <c r="E79" s="578"/>
      <c r="F79" s="578"/>
      <c r="G79" s="578"/>
      <c r="H79" s="578"/>
      <c r="I79" s="578"/>
      <c r="J79" s="578"/>
      <c r="K79" s="578"/>
      <c r="L79" s="578"/>
      <c r="M79" s="578"/>
      <c r="N79" s="578"/>
      <c r="O79" s="578"/>
      <c r="P79" s="578"/>
      <c r="Q79" s="578"/>
      <c r="R79" s="578"/>
      <c r="S79" s="578"/>
      <c r="T79" s="578"/>
      <c r="U79" s="578"/>
      <c r="V79" s="578"/>
    </row>
    <row r="80" spans="1:22" ht="15.75">
      <c r="A80" s="578"/>
      <c r="B80" s="578"/>
      <c r="C80" s="578"/>
      <c r="D80" s="578"/>
      <c r="E80" s="578"/>
      <c r="F80" s="578"/>
      <c r="G80" s="578"/>
      <c r="H80" s="578"/>
      <c r="I80" s="578"/>
      <c r="J80" s="578"/>
      <c r="K80" s="578"/>
      <c r="L80" s="578"/>
      <c r="M80" s="578"/>
      <c r="N80" s="578"/>
      <c r="O80" s="578"/>
      <c r="P80" s="578"/>
      <c r="Q80" s="578"/>
      <c r="R80" s="578"/>
      <c r="S80" s="578"/>
      <c r="T80" s="578"/>
      <c r="U80" s="578"/>
      <c r="V80" s="578"/>
    </row>
    <row r="81" spans="1:22" ht="15.75">
      <c r="A81" s="578"/>
      <c r="B81" s="578"/>
      <c r="C81" s="578"/>
      <c r="D81" s="578"/>
      <c r="E81" s="578"/>
      <c r="F81" s="578"/>
      <c r="G81" s="578"/>
      <c r="H81" s="578"/>
      <c r="I81" s="578"/>
      <c r="J81" s="578"/>
      <c r="K81" s="578"/>
      <c r="L81" s="578"/>
      <c r="M81" s="578"/>
      <c r="N81" s="578"/>
      <c r="O81" s="578"/>
      <c r="P81" s="578"/>
      <c r="Q81" s="578"/>
      <c r="R81" s="578"/>
      <c r="S81" s="578"/>
      <c r="T81" s="578"/>
      <c r="U81" s="578"/>
      <c r="V81" s="578"/>
    </row>
    <row r="82" spans="1:22" ht="15.75">
      <c r="A82" s="578"/>
      <c r="B82" s="578"/>
      <c r="C82" s="578"/>
      <c r="D82" s="578"/>
      <c r="E82" s="578"/>
      <c r="F82" s="578"/>
      <c r="G82" s="578"/>
      <c r="H82" s="578"/>
      <c r="I82" s="578"/>
      <c r="J82" s="578"/>
      <c r="K82" s="578"/>
      <c r="L82" s="578"/>
      <c r="M82" s="578"/>
      <c r="N82" s="578"/>
      <c r="O82" s="578"/>
      <c r="P82" s="578"/>
      <c r="Q82" s="578"/>
      <c r="R82" s="578"/>
      <c r="S82" s="578"/>
      <c r="T82" s="578"/>
      <c r="U82" s="578"/>
      <c r="V82" s="578"/>
    </row>
    <row r="83" spans="1:22" ht="15.75">
      <c r="A83" s="578"/>
      <c r="B83" s="578"/>
      <c r="C83" s="578"/>
      <c r="D83" s="578"/>
      <c r="E83" s="578"/>
      <c r="F83" s="578"/>
      <c r="G83" s="578"/>
      <c r="H83" s="578"/>
      <c r="I83" s="578"/>
      <c r="J83" s="578"/>
      <c r="K83" s="578"/>
      <c r="L83" s="578"/>
      <c r="M83" s="578"/>
      <c r="N83" s="578"/>
      <c r="O83" s="578"/>
      <c r="P83" s="578"/>
      <c r="Q83" s="578"/>
      <c r="R83" s="578"/>
      <c r="S83" s="578"/>
      <c r="T83" s="578"/>
      <c r="U83" s="578"/>
      <c r="V83" s="578"/>
    </row>
    <row r="84" spans="1:22" ht="15.75">
      <c r="A84" s="578"/>
      <c r="B84" s="578"/>
      <c r="C84" s="578"/>
      <c r="D84" s="578"/>
      <c r="E84" s="578"/>
      <c r="F84" s="578"/>
      <c r="G84" s="578"/>
      <c r="H84" s="578"/>
      <c r="I84" s="578"/>
      <c r="J84" s="578"/>
      <c r="K84" s="578"/>
      <c r="L84" s="578"/>
      <c r="M84" s="578"/>
      <c r="N84" s="578"/>
      <c r="O84" s="578"/>
      <c r="P84" s="578"/>
      <c r="Q84" s="578"/>
      <c r="R84" s="578"/>
      <c r="S84" s="578"/>
      <c r="T84" s="578"/>
      <c r="U84" s="578"/>
      <c r="V84" s="578"/>
    </row>
    <row r="85" spans="1:22" ht="15.75">
      <c r="A85" s="578"/>
      <c r="B85" s="578"/>
      <c r="C85" s="578"/>
      <c r="D85" s="578"/>
      <c r="E85" s="578"/>
      <c r="F85" s="578"/>
      <c r="G85" s="578"/>
      <c r="H85" s="578"/>
      <c r="I85" s="578"/>
      <c r="J85" s="578"/>
      <c r="K85" s="578"/>
      <c r="L85" s="578"/>
      <c r="M85" s="578"/>
      <c r="N85" s="578"/>
      <c r="O85" s="578"/>
      <c r="P85" s="578"/>
      <c r="Q85" s="578"/>
      <c r="R85" s="578"/>
      <c r="S85" s="578"/>
      <c r="T85" s="578"/>
      <c r="U85" s="578"/>
      <c r="V85" s="578"/>
    </row>
    <row r="86" spans="1:22" ht="15.75">
      <c r="A86" s="578"/>
      <c r="B86" s="578"/>
      <c r="C86" s="578"/>
      <c r="D86" s="578"/>
      <c r="E86" s="578"/>
      <c r="F86" s="578"/>
      <c r="G86" s="578"/>
      <c r="H86" s="578"/>
      <c r="I86" s="578"/>
      <c r="J86" s="578"/>
      <c r="K86" s="578"/>
      <c r="L86" s="578"/>
      <c r="M86" s="578"/>
      <c r="N86" s="578"/>
      <c r="O86" s="578"/>
      <c r="P86" s="578"/>
      <c r="Q86" s="578"/>
      <c r="R86" s="578"/>
      <c r="S86" s="578"/>
      <c r="T86" s="578"/>
      <c r="U86" s="578"/>
      <c r="V86" s="578"/>
    </row>
    <row r="87" spans="1:22" ht="15.75">
      <c r="A87" s="578"/>
      <c r="B87" s="578"/>
      <c r="C87" s="578"/>
      <c r="D87" s="578"/>
      <c r="E87" s="578"/>
      <c r="F87" s="578"/>
      <c r="G87" s="578"/>
      <c r="H87" s="578"/>
      <c r="I87" s="578"/>
      <c r="J87" s="578"/>
      <c r="K87" s="578"/>
      <c r="L87" s="578"/>
      <c r="M87" s="578"/>
      <c r="N87" s="578"/>
      <c r="O87" s="578"/>
      <c r="P87" s="578"/>
      <c r="Q87" s="578"/>
      <c r="R87" s="578"/>
      <c r="S87" s="578"/>
      <c r="T87" s="578"/>
      <c r="U87" s="578"/>
      <c r="V87" s="578"/>
    </row>
    <row r="88" spans="1:22" ht="15.75">
      <c r="A88" s="578"/>
      <c r="B88" s="578"/>
      <c r="C88" s="578"/>
      <c r="D88" s="578"/>
      <c r="E88" s="578"/>
      <c r="F88" s="578"/>
      <c r="G88" s="578"/>
      <c r="H88" s="578"/>
      <c r="I88" s="578"/>
      <c r="J88" s="578"/>
      <c r="K88" s="578"/>
      <c r="L88" s="578"/>
      <c r="M88" s="578"/>
      <c r="N88" s="578"/>
      <c r="O88" s="578"/>
      <c r="P88" s="578"/>
      <c r="Q88" s="578"/>
      <c r="R88" s="578"/>
      <c r="S88" s="578"/>
      <c r="T88" s="578"/>
      <c r="U88" s="578"/>
      <c r="V88" s="578"/>
    </row>
  </sheetData>
  <printOptions horizontalCentered="1"/>
  <pageMargins left="0.4" right="0.4" top="1.26" bottom="0.37" header="0.32" footer="0.33"/>
  <pageSetup horizontalDpi="600" verticalDpi="600" orientation="landscape" scale="65" r:id="rId1"/>
  <headerFooter alignWithMargins="0">
    <oddFooter>&amp;LGUD No. 9731&amp;RFinal Order</oddFooter>
  </headerFooter>
</worksheet>
</file>

<file path=xl/worksheets/sheet17.xml><?xml version="1.0" encoding="utf-8"?>
<worksheet xmlns="http://schemas.openxmlformats.org/spreadsheetml/2006/main" xmlns:r="http://schemas.openxmlformats.org/officeDocument/2006/relationships">
  <sheetPr codeName="Sheet17">
    <tabColor indexed="49"/>
  </sheetPr>
  <dimension ref="A1:AK137"/>
  <sheetViews>
    <sheetView workbookViewId="0" topLeftCell="A1">
      <selection activeCell="J19" sqref="J19"/>
    </sheetView>
  </sheetViews>
  <sheetFormatPr defaultColWidth="9.140625" defaultRowHeight="12.75"/>
  <cols>
    <col min="1" max="1" width="5.00390625" style="0" customWidth="1"/>
    <col min="2" max="2" width="2.00390625" style="0" customWidth="1"/>
    <col min="7" max="7" width="24.7109375" style="0" customWidth="1"/>
  </cols>
  <sheetData>
    <row r="1" spans="1:37" ht="15.75">
      <c r="A1" s="578"/>
      <c r="B1" s="578"/>
      <c r="C1" s="578"/>
      <c r="D1" s="578"/>
      <c r="E1" s="578"/>
      <c r="F1" s="578"/>
      <c r="G1" s="578"/>
      <c r="H1" s="132" t="s">
        <v>729</v>
      </c>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row>
    <row r="2" spans="1:37" ht="15.75">
      <c r="A2" s="578"/>
      <c r="B2" s="578"/>
      <c r="C2" s="578"/>
      <c r="D2" s="578"/>
      <c r="E2" s="578"/>
      <c r="F2" s="578"/>
      <c r="G2" s="578"/>
      <c r="H2" s="132"/>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row>
    <row r="3" spans="1:37" ht="15.75">
      <c r="A3" s="586" t="str">
        <f>+'Schedule F-1'!A2</f>
        <v>HUGHES NATURAL GAS </v>
      </c>
      <c r="B3" s="586"/>
      <c r="C3" s="586"/>
      <c r="D3" s="586"/>
      <c r="E3" s="586"/>
      <c r="F3" s="586"/>
      <c r="G3" s="586"/>
      <c r="H3" s="586"/>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row>
    <row r="4" spans="1:37" ht="15.75">
      <c r="A4" s="586" t="str">
        <f>+'Schedule F-1'!A3</f>
        <v>TEST YEAR ENDING DECEMBER 31, 2006</v>
      </c>
      <c r="B4" s="586"/>
      <c r="C4" s="586"/>
      <c r="D4" s="586"/>
      <c r="E4" s="586"/>
      <c r="F4" s="586"/>
      <c r="G4" s="586"/>
      <c r="H4" s="586"/>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row>
    <row r="5" spans="1:37" ht="15.75">
      <c r="A5" s="586"/>
      <c r="B5" s="586"/>
      <c r="C5" s="586"/>
      <c r="D5" s="586"/>
      <c r="E5" s="586"/>
      <c r="F5" s="586"/>
      <c r="G5" s="586"/>
      <c r="H5" s="586"/>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row>
    <row r="6" spans="1:37" ht="15.75">
      <c r="A6" s="586" t="s">
        <v>83</v>
      </c>
      <c r="B6" s="586"/>
      <c r="C6" s="586"/>
      <c r="D6" s="586"/>
      <c r="E6" s="586"/>
      <c r="F6" s="586"/>
      <c r="G6" s="586"/>
      <c r="H6" s="586"/>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row>
    <row r="7" spans="1:37" ht="15.75">
      <c r="A7" s="578"/>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row>
    <row r="8" spans="1:37" ht="15.75">
      <c r="A8" s="578"/>
      <c r="B8" s="578"/>
      <c r="C8" s="610"/>
      <c r="D8" s="610"/>
      <c r="E8" s="610"/>
      <c r="F8" s="610"/>
      <c r="G8" s="610"/>
      <c r="H8" s="610"/>
      <c r="I8" s="610"/>
      <c r="J8" s="610"/>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8"/>
    </row>
    <row r="9" spans="1:37" ht="15.75">
      <c r="A9" s="583">
        <v>1</v>
      </c>
      <c r="B9" s="587" t="s">
        <v>89</v>
      </c>
      <c r="C9" s="610"/>
      <c r="D9" s="610"/>
      <c r="E9" s="610"/>
      <c r="F9" s="177"/>
      <c r="G9" s="610"/>
      <c r="H9" s="649">
        <v>93874</v>
      </c>
      <c r="I9" s="610"/>
      <c r="J9" s="610"/>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row>
    <row r="10" spans="1:37" ht="15.75">
      <c r="A10" s="583"/>
      <c r="B10" s="578"/>
      <c r="C10" s="610"/>
      <c r="D10" s="610"/>
      <c r="E10" s="610"/>
      <c r="F10" s="610"/>
      <c r="G10" s="610"/>
      <c r="H10" s="610"/>
      <c r="I10" s="610"/>
      <c r="J10" s="610"/>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row>
    <row r="11" spans="1:37" ht="15.75">
      <c r="A11" s="583"/>
      <c r="B11" s="611" t="s">
        <v>84</v>
      </c>
      <c r="C11" s="610"/>
      <c r="D11" s="610"/>
      <c r="E11" s="610"/>
      <c r="F11" s="177"/>
      <c r="G11" s="177"/>
      <c r="H11" s="177"/>
      <c r="I11" s="610"/>
      <c r="J11" s="610"/>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row>
    <row r="12" spans="1:37" ht="15.75">
      <c r="A12" s="583">
        <v>2</v>
      </c>
      <c r="B12" s="578"/>
      <c r="C12" s="610" t="s">
        <v>616</v>
      </c>
      <c r="D12" s="610"/>
      <c r="E12" s="610"/>
      <c r="F12" s="177"/>
      <c r="G12" s="177"/>
      <c r="H12" s="650">
        <f>+'Schedule F'!F80+'Schedule F'!F68+'Schedule F'!F64+'Schedule F'!F72+'Schedule F'!F84</f>
        <v>92594.54721974161</v>
      </c>
      <c r="I12" s="177"/>
      <c r="J12" s="177"/>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row>
    <row r="13" spans="1:37" ht="16.5" thickBot="1">
      <c r="A13" s="583">
        <v>3</v>
      </c>
      <c r="B13" s="578"/>
      <c r="C13" s="610" t="s">
        <v>88</v>
      </c>
      <c r="D13" s="610"/>
      <c r="E13" s="610"/>
      <c r="F13" s="610"/>
      <c r="G13" s="610"/>
      <c r="H13" s="651">
        <f>+H12*3</f>
        <v>277783.6416592248</v>
      </c>
      <c r="I13" s="610"/>
      <c r="J13" s="610"/>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row>
    <row r="14" spans="1:37" ht="15.75">
      <c r="A14" s="583">
        <v>4</v>
      </c>
      <c r="B14" s="578"/>
      <c r="C14" s="610" t="s">
        <v>85</v>
      </c>
      <c r="D14" s="610"/>
      <c r="E14" s="610"/>
      <c r="F14" s="610"/>
      <c r="G14" s="610"/>
      <c r="H14" s="652">
        <f>+H9/H13</f>
        <v>0.337939266111146</v>
      </c>
      <c r="I14" s="610"/>
      <c r="J14" s="610"/>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row>
    <row r="15" spans="1:37" ht="15.75">
      <c r="A15" s="583"/>
      <c r="B15" s="578"/>
      <c r="C15" s="610"/>
      <c r="D15" s="610"/>
      <c r="E15" s="610"/>
      <c r="F15" s="610"/>
      <c r="G15" s="610"/>
      <c r="H15" s="610"/>
      <c r="I15" s="610"/>
      <c r="J15" s="610"/>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row>
    <row r="16" spans="1:37" ht="15.75">
      <c r="A16" s="583">
        <v>5</v>
      </c>
      <c r="B16" s="578"/>
      <c r="C16" s="610" t="s">
        <v>86</v>
      </c>
      <c r="D16" s="653"/>
      <c r="E16" s="610"/>
      <c r="F16" s="610"/>
      <c r="G16" s="610"/>
      <c r="H16" s="652">
        <f>+H14*6</f>
        <v>2.027635596666876</v>
      </c>
      <c r="I16" s="610"/>
      <c r="J16" s="610"/>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row>
    <row r="17" spans="1:37" ht="15.75">
      <c r="A17" s="583">
        <v>6</v>
      </c>
      <c r="B17" s="578"/>
      <c r="C17" s="610" t="s">
        <v>87</v>
      </c>
      <c r="D17" s="653"/>
      <c r="E17" s="610"/>
      <c r="F17" s="610"/>
      <c r="G17" s="610"/>
      <c r="H17" s="652">
        <f>+H14*10</f>
        <v>3.37939266111146</v>
      </c>
      <c r="I17" s="610"/>
      <c r="J17" s="610"/>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row>
    <row r="18" spans="1:37" ht="15.75">
      <c r="A18" s="583"/>
      <c r="B18" s="578"/>
      <c r="C18" s="610"/>
      <c r="D18" s="610"/>
      <c r="E18" s="610"/>
      <c r="F18" s="610"/>
      <c r="G18" s="610"/>
      <c r="H18" s="177"/>
      <c r="I18" s="610"/>
      <c r="J18" s="610"/>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row>
    <row r="19" spans="1:37" ht="15.75">
      <c r="A19" s="583"/>
      <c r="B19" s="611" t="s">
        <v>735</v>
      </c>
      <c r="C19" s="610"/>
      <c r="D19" s="610"/>
      <c r="E19" s="610"/>
      <c r="F19" s="610"/>
      <c r="G19" s="610"/>
      <c r="H19" s="177"/>
      <c r="I19" s="610"/>
      <c r="J19" s="610"/>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row>
    <row r="20" spans="1:37" ht="15.75">
      <c r="A20" s="583">
        <v>7</v>
      </c>
      <c r="B20" s="578"/>
      <c r="C20" s="610" t="s">
        <v>617</v>
      </c>
      <c r="D20" s="610"/>
      <c r="E20" s="610"/>
      <c r="F20" s="610"/>
      <c r="G20" s="610"/>
      <c r="H20" s="650">
        <f>+'Schedule F'!F81+'Schedule F'!F69+'Schedule F'!F65+'Schedule F'!F73+'Schedule F'!F85</f>
        <v>20148</v>
      </c>
      <c r="I20" s="610"/>
      <c r="J20" s="610"/>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row>
    <row r="21" spans="1:37" ht="16.5" thickBot="1">
      <c r="A21" s="583">
        <v>8</v>
      </c>
      <c r="B21" s="578"/>
      <c r="C21" s="610" t="s">
        <v>711</v>
      </c>
      <c r="D21" s="610"/>
      <c r="E21" s="610"/>
      <c r="F21" s="610"/>
      <c r="G21" s="610"/>
      <c r="H21" s="651">
        <f>+H20*4</f>
        <v>80592</v>
      </c>
      <c r="I21" s="610"/>
      <c r="J21" s="610"/>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row>
    <row r="22" spans="1:37" ht="15.75">
      <c r="A22" s="583">
        <v>9</v>
      </c>
      <c r="B22" s="578"/>
      <c r="C22" s="610" t="s">
        <v>90</v>
      </c>
      <c r="D22" s="610"/>
      <c r="E22" s="610"/>
      <c r="F22" s="610"/>
      <c r="G22" s="610"/>
      <c r="H22" s="652">
        <f>ROUNDUP(H9/H21,2)</f>
        <v>1.17</v>
      </c>
      <c r="I22" s="610"/>
      <c r="J22" s="610"/>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row>
    <row r="23" spans="1:37" ht="15.75">
      <c r="A23" s="583"/>
      <c r="B23" s="578"/>
      <c r="C23" s="610"/>
      <c r="D23" s="610"/>
      <c r="E23" s="610"/>
      <c r="F23" s="610"/>
      <c r="G23" s="610"/>
      <c r="H23" s="610"/>
      <c r="I23" s="610"/>
      <c r="J23" s="610"/>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8"/>
    </row>
    <row r="24" spans="1:37" ht="15.75">
      <c r="A24" s="583">
        <v>10</v>
      </c>
      <c r="B24" s="578"/>
      <c r="C24" s="610" t="s">
        <v>86</v>
      </c>
      <c r="D24" s="610"/>
      <c r="E24" s="610"/>
      <c r="F24" s="610"/>
      <c r="G24" s="610"/>
      <c r="H24" s="652">
        <f>+H22</f>
        <v>1.17</v>
      </c>
      <c r="I24" s="610"/>
      <c r="J24" s="610"/>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8"/>
    </row>
    <row r="25" spans="1:37" ht="15.75">
      <c r="A25" s="583">
        <v>11</v>
      </c>
      <c r="B25" s="578"/>
      <c r="C25" s="610" t="s">
        <v>87</v>
      </c>
      <c r="D25" s="610"/>
      <c r="E25" s="610"/>
      <c r="F25" s="610"/>
      <c r="G25" s="610"/>
      <c r="H25" s="652">
        <f>+H24</f>
        <v>1.17</v>
      </c>
      <c r="I25" s="610"/>
      <c r="J25" s="610"/>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8"/>
    </row>
    <row r="26" spans="1:37" ht="15.75">
      <c r="A26" s="578"/>
      <c r="B26" s="578"/>
      <c r="C26" s="610"/>
      <c r="D26" s="610"/>
      <c r="E26" s="610"/>
      <c r="F26" s="610"/>
      <c r="G26" s="610"/>
      <c r="H26" s="610"/>
      <c r="I26" s="610"/>
      <c r="J26" s="610"/>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row>
    <row r="27" spans="1:37" ht="15.75">
      <c r="A27" s="578"/>
      <c r="B27" s="578"/>
      <c r="C27" s="610"/>
      <c r="D27" s="610"/>
      <c r="E27" s="610"/>
      <c r="F27" s="610"/>
      <c r="G27" s="610"/>
      <c r="H27" s="610"/>
      <c r="I27" s="610"/>
      <c r="J27" s="610"/>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row>
    <row r="28" spans="1:37" ht="15.75">
      <c r="A28" s="578"/>
      <c r="B28" s="578"/>
      <c r="C28" s="610"/>
      <c r="D28" s="610"/>
      <c r="E28" s="610"/>
      <c r="F28" s="610"/>
      <c r="G28" s="610"/>
      <c r="H28" s="610"/>
      <c r="I28" s="610"/>
      <c r="J28" s="610"/>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row>
    <row r="29" spans="1:37" ht="15.75">
      <c r="A29" s="578"/>
      <c r="B29" s="578"/>
      <c r="C29" s="610"/>
      <c r="D29" s="610"/>
      <c r="E29" s="610"/>
      <c r="F29" s="610"/>
      <c r="G29" s="610"/>
      <c r="H29" s="610"/>
      <c r="I29" s="610"/>
      <c r="J29" s="610"/>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8"/>
    </row>
    <row r="30" spans="1:37" ht="15.75">
      <c r="A30" s="578"/>
      <c r="B30" s="578"/>
      <c r="C30" s="610"/>
      <c r="D30" s="610"/>
      <c r="E30" s="610"/>
      <c r="F30" s="610"/>
      <c r="G30" s="610"/>
      <c r="H30" s="610"/>
      <c r="I30" s="610"/>
      <c r="J30" s="610"/>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8"/>
    </row>
    <row r="31" spans="1:37" ht="15.75">
      <c r="A31" s="578"/>
      <c r="B31" s="578"/>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row>
    <row r="32" spans="1:37" ht="15.75">
      <c r="A32" s="578"/>
      <c r="B32" s="578"/>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8"/>
    </row>
    <row r="33" spans="1:37" ht="15.75">
      <c r="A33" s="578"/>
      <c r="B33" s="578"/>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8"/>
    </row>
    <row r="34" spans="1:37" ht="15.75">
      <c r="A34" s="578"/>
      <c r="B34" s="578"/>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8"/>
      <c r="AK34" s="578"/>
    </row>
    <row r="35" spans="1:37" ht="15.75">
      <c r="A35" s="578"/>
      <c r="B35" s="578"/>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row>
    <row r="36" spans="1:37" ht="15.75">
      <c r="A36" s="578"/>
      <c r="B36" s="578"/>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row>
    <row r="37" spans="1:37" ht="15.75">
      <c r="A37" s="578"/>
      <c r="B37" s="578"/>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8"/>
    </row>
    <row r="38" spans="1:37" ht="15.75">
      <c r="A38" s="578"/>
      <c r="B38" s="578"/>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row>
    <row r="39" spans="1:37" ht="15.75">
      <c r="A39" s="578"/>
      <c r="B39" s="578"/>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8"/>
    </row>
    <row r="40" spans="1:37" ht="15.75">
      <c r="A40" s="578"/>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row>
    <row r="41" spans="1:37" ht="15.75">
      <c r="A41" s="578"/>
      <c r="B41" s="578"/>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8"/>
    </row>
    <row r="42" spans="1:37" ht="15.75">
      <c r="A42" s="578"/>
      <c r="B42" s="578"/>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row>
    <row r="43" spans="1:37" ht="15.75">
      <c r="A43" s="578"/>
      <c r="B43" s="578"/>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row>
    <row r="44" spans="1:37" ht="15.75">
      <c r="A44" s="578"/>
      <c r="B44" s="578"/>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8"/>
    </row>
    <row r="45" spans="1:37" ht="15.75">
      <c r="A45" s="578"/>
      <c r="B45" s="578"/>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8"/>
    </row>
    <row r="46" spans="1:37" ht="15.75">
      <c r="A46" s="578"/>
      <c r="B46" s="578"/>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8"/>
    </row>
    <row r="47" spans="1:37" ht="15.75">
      <c r="A47" s="578"/>
      <c r="B47" s="578"/>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8"/>
    </row>
    <row r="48" spans="1:37" ht="15.75">
      <c r="A48" s="578"/>
      <c r="B48" s="578"/>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row>
    <row r="49" spans="1:37" ht="15.75">
      <c r="A49" s="578"/>
      <c r="B49" s="578"/>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row>
    <row r="50" spans="1:37" ht="15.75">
      <c r="A50" s="578"/>
      <c r="B50" s="578"/>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row>
    <row r="51" spans="1:37" ht="15.75">
      <c r="A51" s="578"/>
      <c r="B51" s="578"/>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8"/>
    </row>
    <row r="52" spans="1:37" ht="15.75">
      <c r="A52" s="578"/>
      <c r="B52" s="578"/>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8"/>
    </row>
    <row r="53" spans="1:37" ht="15.75">
      <c r="A53" s="578"/>
      <c r="B53" s="578"/>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row>
    <row r="54" spans="1:37" ht="15.75">
      <c r="A54" s="578"/>
      <c r="B54" s="578"/>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row>
    <row r="55" spans="1:37" ht="15.75">
      <c r="A55" s="578"/>
      <c r="B55" s="578"/>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row>
    <row r="56" spans="1:37" ht="15.75">
      <c r="A56" s="578"/>
      <c r="B56" s="578"/>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row>
    <row r="57" spans="1:37" ht="15.75">
      <c r="A57" s="578"/>
      <c r="B57" s="578"/>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8"/>
    </row>
    <row r="58" spans="1:37" ht="15.75">
      <c r="A58" s="578"/>
      <c r="B58" s="578"/>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8"/>
    </row>
    <row r="59" spans="1:37" ht="15.75">
      <c r="A59" s="578"/>
      <c r="B59" s="578"/>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8"/>
    </row>
    <row r="60" spans="1:37" ht="15.75">
      <c r="A60" s="578"/>
      <c r="B60" s="578"/>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8"/>
    </row>
    <row r="61" spans="1:37" ht="15.75">
      <c r="A61" s="578"/>
      <c r="B61" s="578"/>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8"/>
    </row>
    <row r="62" spans="1:37" ht="15.75">
      <c r="A62" s="578"/>
      <c r="B62" s="578"/>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8"/>
    </row>
    <row r="63" spans="1:37" ht="15.75">
      <c r="A63" s="578"/>
      <c r="B63" s="578"/>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row>
    <row r="64" spans="1:37" ht="15.75">
      <c r="A64" s="578"/>
      <c r="B64" s="578"/>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8"/>
    </row>
    <row r="65" spans="1:37" ht="15.75">
      <c r="A65" s="578"/>
      <c r="B65" s="578"/>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8"/>
    </row>
    <row r="66" spans="1:37" ht="15.75">
      <c r="A66" s="578"/>
      <c r="B66" s="578"/>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8"/>
    </row>
    <row r="67" spans="1:37" ht="15.75">
      <c r="A67" s="578"/>
      <c r="B67" s="578"/>
      <c r="C67" s="578"/>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8"/>
      <c r="AI67" s="578"/>
      <c r="AJ67" s="578"/>
      <c r="AK67" s="578"/>
    </row>
    <row r="68" spans="1:37" ht="15.75">
      <c r="A68" s="578"/>
      <c r="B68" s="578"/>
      <c r="C68" s="578"/>
      <c r="D68" s="578"/>
      <c r="E68" s="578"/>
      <c r="F68" s="578"/>
      <c r="G68" s="578"/>
      <c r="H68" s="578"/>
      <c r="I68" s="578"/>
      <c r="J68" s="578"/>
      <c r="K68" s="578"/>
      <c r="L68" s="578"/>
      <c r="M68" s="578"/>
      <c r="N68" s="578"/>
      <c r="O68" s="578"/>
      <c r="P68" s="578"/>
      <c r="Q68" s="578"/>
      <c r="R68" s="578"/>
      <c r="S68" s="578"/>
      <c r="T68" s="578"/>
      <c r="U68" s="578"/>
      <c r="V68" s="578"/>
      <c r="W68" s="578"/>
      <c r="X68" s="578"/>
      <c r="Y68" s="578"/>
      <c r="Z68" s="578"/>
      <c r="AA68" s="578"/>
      <c r="AB68" s="578"/>
      <c r="AC68" s="578"/>
      <c r="AD68" s="578"/>
      <c r="AE68" s="578"/>
      <c r="AF68" s="578"/>
      <c r="AG68" s="578"/>
      <c r="AH68" s="578"/>
      <c r="AI68" s="578"/>
      <c r="AJ68" s="578"/>
      <c r="AK68" s="578"/>
    </row>
    <row r="69" spans="1:37" ht="15.75">
      <c r="A69" s="578"/>
      <c r="B69" s="578"/>
      <c r="C69" s="578"/>
      <c r="D69" s="578"/>
      <c r="E69" s="578"/>
      <c r="F69" s="578"/>
      <c r="G69" s="578"/>
      <c r="H69" s="578"/>
      <c r="I69" s="578"/>
      <c r="J69" s="578"/>
      <c r="K69" s="578"/>
      <c r="L69" s="578"/>
      <c r="M69" s="578"/>
      <c r="N69" s="578"/>
      <c r="O69" s="578"/>
      <c r="P69" s="578"/>
      <c r="Q69" s="578"/>
      <c r="R69" s="578"/>
      <c r="S69" s="578"/>
      <c r="T69" s="578"/>
      <c r="U69" s="578"/>
      <c r="V69" s="578"/>
      <c r="W69" s="578"/>
      <c r="X69" s="578"/>
      <c r="Y69" s="578"/>
      <c r="Z69" s="578"/>
      <c r="AA69" s="578"/>
      <c r="AB69" s="578"/>
      <c r="AC69" s="578"/>
      <c r="AD69" s="578"/>
      <c r="AE69" s="578"/>
      <c r="AF69" s="578"/>
      <c r="AG69" s="578"/>
      <c r="AH69" s="578"/>
      <c r="AI69" s="578"/>
      <c r="AJ69" s="578"/>
      <c r="AK69" s="578"/>
    </row>
    <row r="70" spans="1:37" ht="15.75">
      <c r="A70" s="578"/>
      <c r="B70" s="578"/>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8"/>
    </row>
    <row r="71" spans="1:37" ht="15.75">
      <c r="A71" s="578"/>
      <c r="B71" s="578"/>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8"/>
    </row>
    <row r="72" spans="1:37" ht="15.75">
      <c r="A72" s="578"/>
      <c r="B72" s="578"/>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row>
    <row r="73" spans="1:37" ht="15.75">
      <c r="A73" s="578"/>
      <c r="B73" s="578"/>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row>
    <row r="74" spans="1:37" ht="15.75">
      <c r="A74" s="578"/>
      <c r="B74" s="578"/>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8"/>
    </row>
    <row r="75" spans="1:37" ht="15.75">
      <c r="A75" s="578"/>
      <c r="B75" s="578"/>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8"/>
    </row>
    <row r="76" spans="1:37" ht="15.75">
      <c r="A76" s="578"/>
      <c r="B76" s="578"/>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row>
    <row r="77" spans="1:37" ht="15.75">
      <c r="A77" s="578"/>
      <c r="B77" s="578"/>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row>
    <row r="78" spans="1:37" ht="15.75">
      <c r="A78" s="578"/>
      <c r="B78" s="578"/>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row>
    <row r="79" spans="1:37" ht="15.75">
      <c r="A79" s="578"/>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row>
    <row r="80" spans="1:37" ht="15.75">
      <c r="A80" s="578"/>
      <c r="B80" s="578"/>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row>
    <row r="81" spans="1:37" ht="15.75">
      <c r="A81" s="578"/>
      <c r="B81" s="578"/>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row>
    <row r="82" spans="1:37" ht="15.75">
      <c r="A82" s="578"/>
      <c r="B82" s="578"/>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row>
    <row r="83" spans="1:37" ht="15.75">
      <c r="A83" s="578"/>
      <c r="B83" s="578"/>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8"/>
    </row>
    <row r="84" spans="1:37" ht="15.75">
      <c r="A84" s="578"/>
      <c r="B84" s="578"/>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row>
    <row r="85" spans="1:37" ht="15.75">
      <c r="A85" s="578"/>
      <c r="B85" s="578"/>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row>
    <row r="86" spans="1:37" ht="15.75">
      <c r="A86" s="578"/>
      <c r="B86" s="578"/>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row>
    <row r="87" spans="1:37" ht="15.75">
      <c r="A87" s="578"/>
      <c r="B87" s="578"/>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8"/>
    </row>
    <row r="88" spans="1:37" ht="15.75">
      <c r="A88" s="578"/>
      <c r="B88" s="578"/>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row>
    <row r="89" spans="1:37" ht="15.75">
      <c r="A89" s="578"/>
      <c r="B89" s="578"/>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row>
    <row r="90" spans="1:37" ht="15.75">
      <c r="A90" s="578"/>
      <c r="B90" s="578"/>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row>
    <row r="91" spans="1:37" ht="15.75">
      <c r="A91" s="578"/>
      <c r="B91" s="578"/>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8"/>
    </row>
    <row r="92" spans="1:37" ht="15.75">
      <c r="A92" s="578"/>
      <c r="B92" s="578"/>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8"/>
    </row>
    <row r="93" spans="1:37" ht="15.75">
      <c r="A93" s="578"/>
      <c r="B93" s="578"/>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8"/>
    </row>
    <row r="94" spans="1:37" ht="15.75">
      <c r="A94" s="578"/>
      <c r="B94" s="578"/>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8"/>
    </row>
    <row r="95" spans="1:37" ht="15.75">
      <c r="A95" s="578"/>
      <c r="B95" s="578"/>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8"/>
    </row>
    <row r="96" spans="1:37" ht="15.75">
      <c r="A96" s="578"/>
      <c r="B96" s="578"/>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8"/>
    </row>
    <row r="97" spans="1:37" ht="15.75">
      <c r="A97" s="578"/>
      <c r="B97" s="578"/>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8"/>
    </row>
    <row r="98" spans="1:37" ht="15.75">
      <c r="A98" s="578"/>
      <c r="B98" s="578"/>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8"/>
    </row>
    <row r="99" spans="1:37" ht="15.75">
      <c r="A99" s="578"/>
      <c r="B99" s="578"/>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8"/>
    </row>
    <row r="100" spans="1:37" ht="15.75">
      <c r="A100" s="578"/>
      <c r="B100" s="578"/>
      <c r="C100" s="578"/>
      <c r="D100" s="578"/>
      <c r="E100" s="578"/>
      <c r="F100" s="578"/>
      <c r="G100" s="578"/>
      <c r="H100" s="578"/>
      <c r="I100" s="578"/>
      <c r="J100" s="578"/>
      <c r="K100" s="578"/>
      <c r="L100" s="578"/>
      <c r="M100" s="578"/>
      <c r="N100" s="578"/>
      <c r="O100" s="578"/>
      <c r="P100" s="578"/>
      <c r="Q100" s="578"/>
      <c r="R100" s="578"/>
      <c r="S100" s="578"/>
      <c r="T100" s="578"/>
      <c r="U100" s="578"/>
      <c r="V100" s="578"/>
      <c r="W100" s="578"/>
      <c r="X100" s="578"/>
      <c r="Y100" s="578"/>
      <c r="Z100" s="578"/>
      <c r="AA100" s="578"/>
      <c r="AB100" s="578"/>
      <c r="AC100" s="578"/>
      <c r="AD100" s="578"/>
      <c r="AE100" s="578"/>
      <c r="AF100" s="578"/>
      <c r="AG100" s="578"/>
      <c r="AH100" s="578"/>
      <c r="AI100" s="578"/>
      <c r="AJ100" s="578"/>
      <c r="AK100" s="578"/>
    </row>
    <row r="101" spans="1:37" ht="15.75">
      <c r="A101" s="578"/>
      <c r="B101" s="578"/>
      <c r="C101" s="578"/>
      <c r="D101" s="578"/>
      <c r="E101" s="578"/>
      <c r="F101" s="578"/>
      <c r="G101" s="578"/>
      <c r="H101" s="578"/>
      <c r="I101" s="578"/>
      <c r="J101" s="578"/>
      <c r="K101" s="578"/>
      <c r="L101" s="578"/>
      <c r="M101" s="578"/>
      <c r="N101" s="578"/>
      <c r="O101" s="578"/>
      <c r="P101" s="578"/>
      <c r="Q101" s="578"/>
      <c r="R101" s="578"/>
      <c r="S101" s="578"/>
      <c r="T101" s="578"/>
      <c r="U101" s="578"/>
      <c r="V101" s="578"/>
      <c r="W101" s="578"/>
      <c r="X101" s="578"/>
      <c r="Y101" s="578"/>
      <c r="Z101" s="578"/>
      <c r="AA101" s="578"/>
      <c r="AB101" s="578"/>
      <c r="AC101" s="578"/>
      <c r="AD101" s="578"/>
      <c r="AE101" s="578"/>
      <c r="AF101" s="578"/>
      <c r="AG101" s="578"/>
      <c r="AH101" s="578"/>
      <c r="AI101" s="578"/>
      <c r="AJ101" s="578"/>
      <c r="AK101" s="578"/>
    </row>
    <row r="102" spans="1:37" ht="15.75">
      <c r="A102" s="578"/>
      <c r="B102" s="578"/>
      <c r="C102" s="578"/>
      <c r="D102" s="578"/>
      <c r="E102" s="578"/>
      <c r="F102" s="578"/>
      <c r="G102" s="578"/>
      <c r="H102" s="578"/>
      <c r="I102" s="578"/>
      <c r="J102" s="578"/>
      <c r="K102" s="578"/>
      <c r="L102" s="578"/>
      <c r="M102" s="578"/>
      <c r="N102" s="578"/>
      <c r="O102" s="578"/>
      <c r="P102" s="578"/>
      <c r="Q102" s="578"/>
      <c r="R102" s="578"/>
      <c r="S102" s="578"/>
      <c r="T102" s="578"/>
      <c r="U102" s="578"/>
      <c r="V102" s="578"/>
      <c r="W102" s="578"/>
      <c r="X102" s="578"/>
      <c r="Y102" s="578"/>
      <c r="Z102" s="578"/>
      <c r="AA102" s="578"/>
      <c r="AB102" s="578"/>
      <c r="AC102" s="578"/>
      <c r="AD102" s="578"/>
      <c r="AE102" s="578"/>
      <c r="AF102" s="578"/>
      <c r="AG102" s="578"/>
      <c r="AH102" s="578"/>
      <c r="AI102" s="578"/>
      <c r="AJ102" s="578"/>
      <c r="AK102" s="578"/>
    </row>
    <row r="103" spans="1:37" ht="15.75">
      <c r="A103" s="578"/>
      <c r="B103" s="578"/>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8"/>
    </row>
    <row r="104" spans="1:37" ht="15.75">
      <c r="A104" s="578"/>
      <c r="B104" s="578"/>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8"/>
    </row>
    <row r="105" spans="1:37" ht="15.75">
      <c r="A105" s="578"/>
      <c r="B105" s="578"/>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8"/>
    </row>
    <row r="106" spans="1:37" ht="15.75">
      <c r="A106" s="578"/>
      <c r="B106" s="578"/>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8"/>
    </row>
    <row r="107" spans="1:37" ht="15.75">
      <c r="A107" s="578"/>
      <c r="B107" s="578"/>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8"/>
    </row>
    <row r="108" spans="1:37" ht="15.75">
      <c r="A108" s="578"/>
      <c r="B108" s="578"/>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8"/>
    </row>
    <row r="109" spans="1:37" ht="15.75">
      <c r="A109" s="578"/>
      <c r="B109" s="578"/>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8"/>
    </row>
    <row r="110" spans="1:37" ht="15.75">
      <c r="A110" s="578"/>
      <c r="B110" s="578"/>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8"/>
    </row>
    <row r="111" spans="1:37" ht="15.75">
      <c r="A111" s="578"/>
      <c r="B111" s="578"/>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8"/>
    </row>
    <row r="112" spans="1:37" ht="15.75">
      <c r="A112" s="578"/>
      <c r="B112" s="578"/>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8"/>
    </row>
    <row r="113" spans="1:37" ht="15.75">
      <c r="A113" s="578"/>
      <c r="B113" s="578"/>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8"/>
    </row>
    <row r="114" spans="1:37" ht="15.75">
      <c r="A114" s="578"/>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8"/>
    </row>
    <row r="115" spans="1:37" ht="15.75">
      <c r="A115" s="578"/>
      <c r="B115" s="578"/>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8"/>
    </row>
    <row r="116" spans="1:37" ht="15.75">
      <c r="A116" s="578"/>
      <c r="B116" s="578"/>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8"/>
    </row>
    <row r="117" spans="1:37" ht="15.75">
      <c r="A117" s="578"/>
      <c r="B117" s="578"/>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8"/>
    </row>
    <row r="118" spans="1:37" ht="15.75">
      <c r="A118" s="578"/>
      <c r="B118" s="578"/>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8"/>
    </row>
    <row r="119" spans="1:37" ht="15.75">
      <c r="A119" s="578"/>
      <c r="B119" s="578"/>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8"/>
    </row>
    <row r="120" spans="1:37" ht="15.75">
      <c r="A120" s="578"/>
      <c r="B120" s="578"/>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8"/>
    </row>
    <row r="121" spans="1:37" ht="15.75">
      <c r="A121" s="578"/>
      <c r="B121" s="578"/>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8"/>
    </row>
    <row r="122" spans="1:37" ht="15.75">
      <c r="A122" s="578"/>
      <c r="B122" s="578"/>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8"/>
    </row>
    <row r="123" spans="1:37" ht="15.75">
      <c r="A123" s="578"/>
      <c r="B123" s="578"/>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8"/>
    </row>
    <row r="124" spans="1:37" ht="15.75">
      <c r="A124" s="578"/>
      <c r="B124" s="578"/>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8"/>
    </row>
    <row r="125" spans="1:37" ht="15.75">
      <c r="A125" s="578"/>
      <c r="B125" s="578"/>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8"/>
    </row>
    <row r="126" spans="1:37" ht="15.75">
      <c r="A126" s="578"/>
      <c r="B126" s="578"/>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8"/>
    </row>
    <row r="127" spans="1:37" ht="15.75">
      <c r="A127" s="578"/>
      <c r="B127" s="578"/>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row>
    <row r="128" spans="1:37" ht="15.75">
      <c r="A128" s="578"/>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row>
    <row r="129" spans="1:37" ht="15.75">
      <c r="A129" s="578"/>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row>
    <row r="130" spans="1:37" ht="15.75">
      <c r="A130" s="578"/>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row>
    <row r="131" spans="1:37" ht="15.75">
      <c r="A131" s="578"/>
      <c r="B131" s="578"/>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row>
    <row r="132" spans="1:37" ht="15.75">
      <c r="A132" s="578"/>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row>
    <row r="133" spans="1:37" ht="15.75">
      <c r="A133" s="578"/>
      <c r="B133" s="578"/>
      <c r="C133" s="578"/>
      <c r="D133" s="578"/>
      <c r="E133" s="578"/>
      <c r="F133" s="578"/>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row>
    <row r="134" spans="1:37" ht="15.75">
      <c r="A134" s="578"/>
      <c r="B134" s="578"/>
      <c r="C134" s="578"/>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8"/>
      <c r="AD134" s="578"/>
      <c r="AE134" s="578"/>
      <c r="AF134" s="578"/>
      <c r="AG134" s="578"/>
      <c r="AH134" s="578"/>
      <c r="AI134" s="578"/>
      <c r="AJ134" s="578"/>
      <c r="AK134" s="578"/>
    </row>
    <row r="135" spans="1:37" ht="15.75">
      <c r="A135" s="578"/>
      <c r="B135" s="578"/>
      <c r="C135" s="578"/>
      <c r="D135" s="578"/>
      <c r="E135" s="578"/>
      <c r="F135" s="578"/>
      <c r="G135" s="578"/>
      <c r="H135" s="578"/>
      <c r="I135" s="578"/>
      <c r="J135" s="578"/>
      <c r="K135" s="578"/>
      <c r="L135" s="578"/>
      <c r="M135" s="578"/>
      <c r="N135" s="578"/>
      <c r="O135" s="578"/>
      <c r="P135" s="578"/>
      <c r="Q135" s="578"/>
      <c r="R135" s="578"/>
      <c r="S135" s="578"/>
      <c r="T135" s="578"/>
      <c r="U135" s="578"/>
      <c r="V135" s="578"/>
      <c r="W135" s="578"/>
      <c r="X135" s="578"/>
      <c r="Y135" s="578"/>
      <c r="Z135" s="578"/>
      <c r="AA135" s="578"/>
      <c r="AB135" s="578"/>
      <c r="AC135" s="578"/>
      <c r="AD135" s="578"/>
      <c r="AE135" s="578"/>
      <c r="AF135" s="578"/>
      <c r="AG135" s="578"/>
      <c r="AH135" s="578"/>
      <c r="AI135" s="578"/>
      <c r="AJ135" s="578"/>
      <c r="AK135" s="578"/>
    </row>
    <row r="136" spans="1:37" ht="15.75">
      <c r="A136" s="578"/>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row>
    <row r="137" spans="1:37" ht="15.75">
      <c r="A137" s="578"/>
      <c r="B137" s="578"/>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8"/>
    </row>
  </sheetData>
  <printOptions horizontalCentered="1"/>
  <pageMargins left="1.01" right="1" top="1.53" bottom="1" header="0.5" footer="0.5"/>
  <pageSetup horizontalDpi="600" verticalDpi="600" orientation="portrait" scale="90" r:id="rId1"/>
  <headerFooter alignWithMargins="0">
    <oddFooter>&amp;LGUD No. 9731&amp;RFinal Order</oddFooter>
  </headerFooter>
</worksheet>
</file>

<file path=xl/worksheets/sheet18.xml><?xml version="1.0" encoding="utf-8"?>
<worksheet xmlns="http://schemas.openxmlformats.org/spreadsheetml/2006/main" xmlns:r="http://schemas.openxmlformats.org/officeDocument/2006/relationships">
  <sheetPr codeName="Sheet18">
    <tabColor indexed="43"/>
    <outlinePr summaryBelow="0" summaryRight="0"/>
  </sheetPr>
  <dimension ref="A1:IV64"/>
  <sheetViews>
    <sheetView showOutlineSymbols="0" zoomScale="75" zoomScaleNormal="75" workbookViewId="0" topLeftCell="A1">
      <selection activeCell="A1" sqref="A1"/>
    </sheetView>
  </sheetViews>
  <sheetFormatPr defaultColWidth="9.140625" defaultRowHeight="12.75"/>
  <cols>
    <col min="1" max="1" width="5.00390625" style="371" customWidth="1"/>
    <col min="2" max="2" width="48.00390625" style="371" customWidth="1"/>
    <col min="3" max="3" width="13.8515625" style="371" customWidth="1"/>
    <col min="4" max="4" width="21.7109375" style="371" customWidth="1"/>
    <col min="5" max="5" width="5.00390625" style="371" customWidth="1"/>
    <col min="6" max="6" width="9.00390625" style="371" customWidth="1"/>
    <col min="7" max="7" width="12.00390625" style="371" customWidth="1"/>
    <col min="8" max="16384" width="9.00390625" style="371" customWidth="1"/>
  </cols>
  <sheetData>
    <row r="1" ht="13.5">
      <c r="A1" s="252" t="s">
        <v>53</v>
      </c>
    </row>
    <row r="2" ht="13.5">
      <c r="A2" s="252"/>
    </row>
    <row r="3" ht="7.5" customHeight="1"/>
    <row r="4" spans="1:256" ht="17.25" customHeight="1">
      <c r="A4" s="373" t="s">
        <v>234</v>
      </c>
      <c r="B4" s="323"/>
      <c r="C4" s="324"/>
      <c r="D4" s="324"/>
      <c r="E4" s="324"/>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c r="EI4" s="253"/>
      <c r="EJ4" s="253"/>
      <c r="EK4" s="253"/>
      <c r="EL4" s="253"/>
      <c r="EM4" s="253"/>
      <c r="EN4" s="253"/>
      <c r="EO4" s="253"/>
      <c r="EP4" s="253"/>
      <c r="EQ4" s="253"/>
      <c r="ER4" s="253"/>
      <c r="ES4" s="253"/>
      <c r="ET4" s="253"/>
      <c r="EU4" s="253"/>
      <c r="EV4" s="253"/>
      <c r="EW4" s="253"/>
      <c r="EX4" s="253"/>
      <c r="EY4" s="253"/>
      <c r="EZ4" s="253"/>
      <c r="FA4" s="253"/>
      <c r="FB4" s="253"/>
      <c r="FC4" s="253"/>
      <c r="FD4" s="253"/>
      <c r="FE4" s="253"/>
      <c r="FF4" s="253"/>
      <c r="FG4" s="253"/>
      <c r="FH4" s="253"/>
      <c r="FI4" s="253"/>
      <c r="FJ4" s="253"/>
      <c r="FK4" s="253"/>
      <c r="FL4" s="253"/>
      <c r="FM4" s="253"/>
      <c r="FN4" s="253"/>
      <c r="FO4" s="253"/>
      <c r="FP4" s="253"/>
      <c r="FQ4" s="253"/>
      <c r="FR4" s="253"/>
      <c r="FS4" s="253"/>
      <c r="FT4" s="253"/>
      <c r="FU4" s="253"/>
      <c r="FV4" s="253"/>
      <c r="FW4" s="253"/>
      <c r="FX4" s="253"/>
      <c r="FY4" s="253"/>
      <c r="FZ4" s="253"/>
      <c r="GA4" s="253"/>
      <c r="GB4" s="253"/>
      <c r="GC4" s="253"/>
      <c r="GD4" s="253"/>
      <c r="GE4" s="253"/>
      <c r="GF4" s="253"/>
      <c r="GG4" s="253"/>
      <c r="GH4" s="253"/>
      <c r="GI4" s="253"/>
      <c r="GJ4" s="253"/>
      <c r="GK4" s="253"/>
      <c r="GL4" s="253"/>
      <c r="GM4" s="253"/>
      <c r="GN4" s="253"/>
      <c r="GO4" s="253"/>
      <c r="GP4" s="253"/>
      <c r="GQ4" s="253"/>
      <c r="GR4" s="253"/>
      <c r="GS4" s="253"/>
      <c r="GT4" s="253"/>
      <c r="GU4" s="253"/>
      <c r="GV4" s="253"/>
      <c r="GW4" s="253"/>
      <c r="GX4" s="253"/>
      <c r="GY4" s="253"/>
      <c r="GZ4" s="253"/>
      <c r="HA4" s="253"/>
      <c r="HB4" s="253"/>
      <c r="HC4" s="253"/>
      <c r="HD4" s="253"/>
      <c r="HE4" s="253"/>
      <c r="HF4" s="253"/>
      <c r="HG4" s="253"/>
      <c r="HH4" s="253"/>
      <c r="HI4" s="253"/>
      <c r="HJ4" s="253"/>
      <c r="HK4" s="253"/>
      <c r="HL4" s="253"/>
      <c r="HM4" s="253"/>
      <c r="HN4" s="253"/>
      <c r="HO4" s="253"/>
      <c r="HP4" s="253"/>
      <c r="HQ4" s="253"/>
      <c r="HR4" s="253"/>
      <c r="HS4" s="253"/>
      <c r="HT4" s="253"/>
      <c r="HU4" s="253"/>
      <c r="HV4" s="253"/>
      <c r="HW4" s="253"/>
      <c r="HX4" s="253"/>
      <c r="HY4" s="253"/>
      <c r="HZ4" s="253"/>
      <c r="IA4" s="253"/>
      <c r="IB4" s="253"/>
      <c r="IC4" s="253"/>
      <c r="ID4" s="253"/>
      <c r="IE4" s="253"/>
      <c r="IF4" s="253"/>
      <c r="IG4" s="253"/>
      <c r="IH4" s="253"/>
      <c r="II4" s="253"/>
      <c r="IJ4" s="253"/>
      <c r="IK4" s="253"/>
      <c r="IL4" s="253"/>
      <c r="IM4" s="253"/>
      <c r="IN4" s="253"/>
      <c r="IO4" s="253"/>
      <c r="IP4" s="253"/>
      <c r="IQ4" s="253"/>
      <c r="IR4" s="253"/>
      <c r="IS4" s="253"/>
      <c r="IT4" s="253"/>
      <c r="IU4" s="253"/>
      <c r="IV4" s="253"/>
    </row>
    <row r="5" spans="1:256" ht="12" customHeight="1" thickBot="1">
      <c r="A5" s="374"/>
      <c r="E5" s="374"/>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c r="DS5" s="253"/>
      <c r="DT5" s="253"/>
      <c r="DU5" s="253"/>
      <c r="DV5" s="253"/>
      <c r="DW5" s="253"/>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c r="FM5" s="253"/>
      <c r="FN5" s="253"/>
      <c r="FO5" s="253"/>
      <c r="FP5" s="253"/>
      <c r="FQ5" s="253"/>
      <c r="FR5" s="253"/>
      <c r="FS5" s="253"/>
      <c r="FT5" s="253"/>
      <c r="FU5" s="253"/>
      <c r="FV5" s="253"/>
      <c r="FW5" s="253"/>
      <c r="FX5" s="253"/>
      <c r="FY5" s="253"/>
      <c r="FZ5" s="253"/>
      <c r="GA5" s="253"/>
      <c r="GB5" s="253"/>
      <c r="GC5" s="253"/>
      <c r="GD5" s="253"/>
      <c r="GE5" s="253"/>
      <c r="GF5" s="253"/>
      <c r="GG5" s="253"/>
      <c r="GH5" s="253"/>
      <c r="GI5" s="253"/>
      <c r="GJ5" s="253"/>
      <c r="GK5" s="253"/>
      <c r="GL5" s="253"/>
      <c r="GM5" s="253"/>
      <c r="GN5" s="253"/>
      <c r="GO5" s="253"/>
      <c r="GP5" s="253"/>
      <c r="GQ5" s="253"/>
      <c r="GR5" s="253"/>
      <c r="GS5" s="253"/>
      <c r="GT5" s="253"/>
      <c r="GU5" s="253"/>
      <c r="GV5" s="253"/>
      <c r="GW5" s="253"/>
      <c r="GX5" s="253"/>
      <c r="GY5" s="253"/>
      <c r="GZ5" s="253"/>
      <c r="HA5" s="253"/>
      <c r="HB5" s="253"/>
      <c r="HC5" s="253"/>
      <c r="HD5" s="253"/>
      <c r="HE5" s="253"/>
      <c r="HF5" s="253"/>
      <c r="HG5" s="253"/>
      <c r="HH5" s="253"/>
      <c r="HI5" s="253"/>
      <c r="HJ5" s="253"/>
      <c r="HK5" s="253"/>
      <c r="HL5" s="253"/>
      <c r="HM5" s="253"/>
      <c r="HN5" s="253"/>
      <c r="HO5" s="253"/>
      <c r="HP5" s="253"/>
      <c r="HQ5" s="253"/>
      <c r="HR5" s="253"/>
      <c r="HS5" s="253"/>
      <c r="HT5" s="253"/>
      <c r="HU5" s="253"/>
      <c r="HV5" s="253"/>
      <c r="HW5" s="253"/>
      <c r="HX5" s="253"/>
      <c r="HY5" s="253"/>
      <c r="HZ5" s="253"/>
      <c r="IA5" s="253"/>
      <c r="IB5" s="253"/>
      <c r="IC5" s="253"/>
      <c r="ID5" s="253"/>
      <c r="IE5" s="253"/>
      <c r="IF5" s="253"/>
      <c r="IG5" s="253"/>
      <c r="IH5" s="253"/>
      <c r="II5" s="253"/>
      <c r="IJ5" s="253"/>
      <c r="IK5" s="253"/>
      <c r="IL5" s="253"/>
      <c r="IM5" s="253"/>
      <c r="IN5" s="253"/>
      <c r="IO5" s="253"/>
      <c r="IP5" s="253"/>
      <c r="IQ5" s="253"/>
      <c r="IR5" s="253"/>
      <c r="IS5" s="253"/>
      <c r="IT5" s="253"/>
      <c r="IU5" s="253"/>
      <c r="IV5" s="253"/>
    </row>
    <row r="6" spans="1:256" ht="12" customHeight="1">
      <c r="A6" s="327" t="s">
        <v>486</v>
      </c>
      <c r="B6" s="328" t="s">
        <v>352</v>
      </c>
      <c r="C6" s="327" t="s">
        <v>235</v>
      </c>
      <c r="D6" s="327" t="s">
        <v>236</v>
      </c>
      <c r="E6" s="327" t="s">
        <v>486</v>
      </c>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c r="GH6" s="253"/>
      <c r="GI6" s="253"/>
      <c r="GJ6" s="253"/>
      <c r="GK6" s="253"/>
      <c r="GL6" s="253"/>
      <c r="GM6" s="253"/>
      <c r="GN6" s="253"/>
      <c r="GO6" s="253"/>
      <c r="GP6" s="253"/>
      <c r="GQ6" s="253"/>
      <c r="GR6" s="253"/>
      <c r="GS6" s="253"/>
      <c r="GT6" s="253"/>
      <c r="GU6" s="253"/>
      <c r="GV6" s="253"/>
      <c r="GW6" s="253"/>
      <c r="GX6" s="253"/>
      <c r="GY6" s="253"/>
      <c r="GZ6" s="253"/>
      <c r="HA6" s="253"/>
      <c r="HB6" s="253"/>
      <c r="HC6" s="253"/>
      <c r="HD6" s="253"/>
      <c r="HE6" s="253"/>
      <c r="HF6" s="253"/>
      <c r="HG6" s="253"/>
      <c r="HH6" s="253"/>
      <c r="HI6" s="253"/>
      <c r="HJ6" s="253"/>
      <c r="HK6" s="253"/>
      <c r="HL6" s="253"/>
      <c r="HM6" s="253"/>
      <c r="HN6" s="253"/>
      <c r="HO6" s="253"/>
      <c r="HP6" s="253"/>
      <c r="HQ6" s="253"/>
      <c r="HR6" s="253"/>
      <c r="HS6" s="253"/>
      <c r="HT6" s="253"/>
      <c r="HU6" s="253"/>
      <c r="HV6" s="253"/>
      <c r="HW6" s="253"/>
      <c r="HX6" s="253"/>
      <c r="HY6" s="253"/>
      <c r="HZ6" s="253"/>
      <c r="IA6" s="253"/>
      <c r="IB6" s="253"/>
      <c r="IC6" s="253"/>
      <c r="ID6" s="253"/>
      <c r="IE6" s="253"/>
      <c r="IF6" s="253"/>
      <c r="IG6" s="253"/>
      <c r="IH6" s="253"/>
      <c r="II6" s="253"/>
      <c r="IJ6" s="253"/>
      <c r="IK6" s="253"/>
      <c r="IL6" s="253"/>
      <c r="IM6" s="253"/>
      <c r="IN6" s="253"/>
      <c r="IO6" s="253"/>
      <c r="IP6" s="253"/>
      <c r="IQ6" s="253"/>
      <c r="IR6" s="253"/>
      <c r="IS6" s="253"/>
      <c r="IT6" s="253"/>
      <c r="IU6" s="253"/>
      <c r="IV6" s="253"/>
    </row>
    <row r="7" spans="1:256" ht="12" customHeight="1">
      <c r="A7" s="329" t="s">
        <v>552</v>
      </c>
      <c r="B7" s="330" t="s">
        <v>237</v>
      </c>
      <c r="C7" s="329" t="s">
        <v>238</v>
      </c>
      <c r="D7" s="329" t="s">
        <v>239</v>
      </c>
      <c r="E7" s="329" t="s">
        <v>552</v>
      </c>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3"/>
      <c r="EU7" s="253"/>
      <c r="EV7" s="253"/>
      <c r="EW7" s="253"/>
      <c r="EX7" s="253"/>
      <c r="EY7" s="253"/>
      <c r="EZ7" s="253"/>
      <c r="FA7" s="253"/>
      <c r="FB7" s="253"/>
      <c r="FC7" s="253"/>
      <c r="FD7" s="253"/>
      <c r="FE7" s="253"/>
      <c r="FF7" s="253"/>
      <c r="FG7" s="253"/>
      <c r="FH7" s="253"/>
      <c r="FI7" s="253"/>
      <c r="FJ7" s="253"/>
      <c r="FK7" s="253"/>
      <c r="FL7" s="253"/>
      <c r="FM7" s="253"/>
      <c r="FN7" s="253"/>
      <c r="FO7" s="253"/>
      <c r="FP7" s="253"/>
      <c r="FQ7" s="253"/>
      <c r="FR7" s="253"/>
      <c r="FS7" s="253"/>
      <c r="FT7" s="253"/>
      <c r="FU7" s="253"/>
      <c r="FV7" s="253"/>
      <c r="FW7" s="253"/>
      <c r="FX7" s="253"/>
      <c r="FY7" s="253"/>
      <c r="FZ7" s="253"/>
      <c r="GA7" s="253"/>
      <c r="GB7" s="253"/>
      <c r="GC7" s="253"/>
      <c r="GD7" s="253"/>
      <c r="GE7" s="253"/>
      <c r="GF7" s="253"/>
      <c r="GG7" s="253"/>
      <c r="GH7" s="253"/>
      <c r="GI7" s="253"/>
      <c r="GJ7" s="253"/>
      <c r="GK7" s="253"/>
      <c r="GL7" s="253"/>
      <c r="GM7" s="253"/>
      <c r="GN7" s="253"/>
      <c r="GO7" s="253"/>
      <c r="GP7" s="253"/>
      <c r="GQ7" s="253"/>
      <c r="GR7" s="253"/>
      <c r="GS7" s="253"/>
      <c r="GT7" s="253"/>
      <c r="GU7" s="253"/>
      <c r="GV7" s="253"/>
      <c r="GW7" s="253"/>
      <c r="GX7" s="253"/>
      <c r="GY7" s="253"/>
      <c r="GZ7" s="253"/>
      <c r="HA7" s="253"/>
      <c r="HB7" s="253"/>
      <c r="HC7" s="253"/>
      <c r="HD7" s="253"/>
      <c r="HE7" s="253"/>
      <c r="HF7" s="253"/>
      <c r="HG7" s="253"/>
      <c r="HH7" s="253"/>
      <c r="HI7" s="253"/>
      <c r="HJ7" s="253"/>
      <c r="HK7" s="253"/>
      <c r="HL7" s="253"/>
      <c r="HM7" s="253"/>
      <c r="HN7" s="253"/>
      <c r="HO7" s="253"/>
      <c r="HP7" s="253"/>
      <c r="HQ7" s="253"/>
      <c r="HR7" s="253"/>
      <c r="HS7" s="253"/>
      <c r="HT7" s="253"/>
      <c r="HU7" s="253"/>
      <c r="HV7" s="253"/>
      <c r="HW7" s="253"/>
      <c r="HX7" s="253"/>
      <c r="HY7" s="253"/>
      <c r="HZ7" s="253"/>
      <c r="IA7" s="253"/>
      <c r="IB7" s="253"/>
      <c r="IC7" s="253"/>
      <c r="ID7" s="253"/>
      <c r="IE7" s="253"/>
      <c r="IF7" s="253"/>
      <c r="IG7" s="253"/>
      <c r="IH7" s="253"/>
      <c r="II7" s="253"/>
      <c r="IJ7" s="253"/>
      <c r="IK7" s="253"/>
      <c r="IL7" s="253"/>
      <c r="IM7" s="253"/>
      <c r="IN7" s="253"/>
      <c r="IO7" s="253"/>
      <c r="IP7" s="253"/>
      <c r="IQ7" s="253"/>
      <c r="IR7" s="253"/>
      <c r="IS7" s="253"/>
      <c r="IT7" s="253"/>
      <c r="IU7" s="253"/>
      <c r="IV7" s="253"/>
    </row>
    <row r="8" spans="1:256" ht="12" customHeight="1" thickBot="1">
      <c r="A8" s="331"/>
      <c r="B8" s="332" t="s">
        <v>360</v>
      </c>
      <c r="C8" s="331" t="s">
        <v>361</v>
      </c>
      <c r="D8" s="331" t="s">
        <v>362</v>
      </c>
      <c r="E8" s="331"/>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c r="FV8" s="253"/>
      <c r="FW8" s="253"/>
      <c r="FX8" s="253"/>
      <c r="FY8" s="253"/>
      <c r="FZ8" s="253"/>
      <c r="GA8" s="253"/>
      <c r="GB8" s="253"/>
      <c r="GC8" s="253"/>
      <c r="GD8" s="253"/>
      <c r="GE8" s="253"/>
      <c r="GF8" s="253"/>
      <c r="GG8" s="253"/>
      <c r="GH8" s="253"/>
      <c r="GI8" s="253"/>
      <c r="GJ8" s="253"/>
      <c r="GK8" s="253"/>
      <c r="GL8" s="253"/>
      <c r="GM8" s="253"/>
      <c r="GN8" s="253"/>
      <c r="GO8" s="253"/>
      <c r="GP8" s="253"/>
      <c r="GQ8" s="253"/>
      <c r="GR8" s="253"/>
      <c r="GS8" s="253"/>
      <c r="GT8" s="253"/>
      <c r="GU8" s="253"/>
      <c r="GV8" s="253"/>
      <c r="GW8" s="253"/>
      <c r="GX8" s="253"/>
      <c r="GY8" s="253"/>
      <c r="GZ8" s="253"/>
      <c r="HA8" s="253"/>
      <c r="HB8" s="253"/>
      <c r="HC8" s="253"/>
      <c r="HD8" s="253"/>
      <c r="HE8" s="253"/>
      <c r="HF8" s="253"/>
      <c r="HG8" s="253"/>
      <c r="HH8" s="253"/>
      <c r="HI8" s="253"/>
      <c r="HJ8" s="253"/>
      <c r="HK8" s="253"/>
      <c r="HL8" s="253"/>
      <c r="HM8" s="253"/>
      <c r="HN8" s="253"/>
      <c r="HO8" s="253"/>
      <c r="HP8" s="253"/>
      <c r="HQ8" s="253"/>
      <c r="HR8" s="253"/>
      <c r="HS8" s="253"/>
      <c r="HT8" s="253"/>
      <c r="HU8" s="253"/>
      <c r="HV8" s="253"/>
      <c r="HW8" s="253"/>
      <c r="HX8" s="253"/>
      <c r="HY8" s="253"/>
      <c r="HZ8" s="253"/>
      <c r="IA8" s="253"/>
      <c r="IB8" s="253"/>
      <c r="IC8" s="253"/>
      <c r="ID8" s="253"/>
      <c r="IE8" s="253"/>
      <c r="IF8" s="253"/>
      <c r="IG8" s="253"/>
      <c r="IH8" s="253"/>
      <c r="II8" s="253"/>
      <c r="IJ8" s="253"/>
      <c r="IK8" s="253"/>
      <c r="IL8" s="253"/>
      <c r="IM8" s="253"/>
      <c r="IN8" s="253"/>
      <c r="IO8" s="253"/>
      <c r="IP8" s="253"/>
      <c r="IQ8" s="253"/>
      <c r="IR8" s="253"/>
      <c r="IS8" s="253"/>
      <c r="IT8" s="253"/>
      <c r="IU8" s="253"/>
      <c r="IV8" s="253"/>
    </row>
    <row r="9" spans="1:256" ht="12" customHeight="1">
      <c r="A9" s="333" t="s">
        <v>439</v>
      </c>
      <c r="B9" s="375" t="s">
        <v>240</v>
      </c>
      <c r="C9" s="376"/>
      <c r="D9" s="377"/>
      <c r="E9" s="333" t="s">
        <v>439</v>
      </c>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c r="DS9" s="253"/>
      <c r="DT9" s="253"/>
      <c r="DU9" s="253"/>
      <c r="DV9" s="253"/>
      <c r="DW9" s="253"/>
      <c r="DX9" s="253"/>
      <c r="DY9" s="253"/>
      <c r="DZ9" s="253"/>
      <c r="EA9" s="253"/>
      <c r="EB9" s="253"/>
      <c r="EC9" s="253"/>
      <c r="ED9" s="253"/>
      <c r="EE9" s="253"/>
      <c r="EF9" s="253"/>
      <c r="EG9" s="253"/>
      <c r="EH9" s="253"/>
      <c r="EI9" s="253"/>
      <c r="EJ9" s="253"/>
      <c r="EK9" s="253"/>
      <c r="EL9" s="253"/>
      <c r="EM9" s="253"/>
      <c r="EN9" s="253"/>
      <c r="EO9" s="253"/>
      <c r="EP9" s="253"/>
      <c r="EQ9" s="253"/>
      <c r="ER9" s="253"/>
      <c r="ES9" s="253"/>
      <c r="ET9" s="253"/>
      <c r="EU9" s="253"/>
      <c r="EV9" s="253"/>
      <c r="EW9" s="253"/>
      <c r="EX9" s="253"/>
      <c r="EY9" s="253"/>
      <c r="EZ9" s="253"/>
      <c r="FA9" s="253"/>
      <c r="FB9" s="253"/>
      <c r="FC9" s="253"/>
      <c r="FD9" s="253"/>
      <c r="FE9" s="253"/>
      <c r="FF9" s="253"/>
      <c r="FG9" s="253"/>
      <c r="FH9" s="253"/>
      <c r="FI9" s="253"/>
      <c r="FJ9" s="253"/>
      <c r="FK9" s="253"/>
      <c r="FL9" s="253"/>
      <c r="FM9" s="253"/>
      <c r="FN9" s="253"/>
      <c r="FO9" s="253"/>
      <c r="FP9" s="253"/>
      <c r="FQ9" s="253"/>
      <c r="FR9" s="253"/>
      <c r="FS9" s="253"/>
      <c r="FT9" s="253"/>
      <c r="FU9" s="253"/>
      <c r="FV9" s="253"/>
      <c r="FW9" s="253"/>
      <c r="FX9" s="253"/>
      <c r="FY9" s="253"/>
      <c r="FZ9" s="253"/>
      <c r="GA9" s="253"/>
      <c r="GB9" s="253"/>
      <c r="GC9" s="253"/>
      <c r="GD9" s="253"/>
      <c r="GE9" s="253"/>
      <c r="GF9" s="253"/>
      <c r="GG9" s="253"/>
      <c r="GH9" s="253"/>
      <c r="GI9" s="253"/>
      <c r="GJ9" s="253"/>
      <c r="GK9" s="253"/>
      <c r="GL9" s="253"/>
      <c r="GM9" s="253"/>
      <c r="GN9" s="253"/>
      <c r="GO9" s="253"/>
      <c r="GP9" s="253"/>
      <c r="GQ9" s="253"/>
      <c r="GR9" s="253"/>
      <c r="GS9" s="253"/>
      <c r="GT9" s="253"/>
      <c r="GU9" s="253"/>
      <c r="GV9" s="253"/>
      <c r="GW9" s="253"/>
      <c r="GX9" s="253"/>
      <c r="GY9" s="253"/>
      <c r="GZ9" s="253"/>
      <c r="HA9" s="253"/>
      <c r="HB9" s="253"/>
      <c r="HC9" s="253"/>
      <c r="HD9" s="253"/>
      <c r="HE9" s="253"/>
      <c r="HF9" s="253"/>
      <c r="HG9" s="253"/>
      <c r="HH9" s="253"/>
      <c r="HI9" s="253"/>
      <c r="HJ9" s="253"/>
      <c r="HK9" s="253"/>
      <c r="HL9" s="253"/>
      <c r="HM9" s="253"/>
      <c r="HN9" s="253"/>
      <c r="HO9" s="253"/>
      <c r="HP9" s="253"/>
      <c r="HQ9" s="253"/>
      <c r="HR9" s="253"/>
      <c r="HS9" s="253"/>
      <c r="HT9" s="253"/>
      <c r="HU9" s="253"/>
      <c r="HV9" s="253"/>
      <c r="HW9" s="253"/>
      <c r="HX9" s="253"/>
      <c r="HY9" s="253"/>
      <c r="HZ9" s="253"/>
      <c r="IA9" s="253"/>
      <c r="IB9" s="253"/>
      <c r="IC9" s="253"/>
      <c r="ID9" s="253"/>
      <c r="IE9" s="253"/>
      <c r="IF9" s="253"/>
      <c r="IG9" s="253"/>
      <c r="IH9" s="253"/>
      <c r="II9" s="253"/>
      <c r="IJ9" s="253"/>
      <c r="IK9" s="253"/>
      <c r="IL9" s="253"/>
      <c r="IM9" s="253"/>
      <c r="IN9" s="253"/>
      <c r="IO9" s="253"/>
      <c r="IP9" s="253"/>
      <c r="IQ9" s="253"/>
      <c r="IR9" s="253"/>
      <c r="IS9" s="253"/>
      <c r="IT9" s="253"/>
      <c r="IU9" s="253"/>
      <c r="IV9" s="253"/>
    </row>
    <row r="10" spans="1:256" ht="12.75" customHeight="1">
      <c r="A10" s="337">
        <v>93</v>
      </c>
      <c r="B10" s="339" t="s">
        <v>241</v>
      </c>
      <c r="C10" s="378"/>
      <c r="D10" s="537" t="s">
        <v>305</v>
      </c>
      <c r="E10" s="337">
        <v>93</v>
      </c>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c r="DS10" s="253"/>
      <c r="DT10" s="253"/>
      <c r="DU10" s="253"/>
      <c r="DV10" s="253"/>
      <c r="DW10" s="253"/>
      <c r="DX10" s="253"/>
      <c r="DY10" s="253"/>
      <c r="DZ10" s="253"/>
      <c r="EA10" s="253"/>
      <c r="EB10" s="253"/>
      <c r="EC10" s="253"/>
      <c r="ED10" s="253"/>
      <c r="EE10" s="253"/>
      <c r="EF10" s="253"/>
      <c r="EG10" s="253"/>
      <c r="EH10" s="253"/>
      <c r="EI10" s="253"/>
      <c r="EJ10" s="253"/>
      <c r="EK10" s="253"/>
      <c r="EL10" s="253"/>
      <c r="EM10" s="253"/>
      <c r="EN10" s="253"/>
      <c r="EO10" s="253"/>
      <c r="EP10" s="253"/>
      <c r="EQ10" s="253"/>
      <c r="ER10" s="253"/>
      <c r="ES10" s="253"/>
      <c r="ET10" s="253"/>
      <c r="EU10" s="253"/>
      <c r="EV10" s="253"/>
      <c r="EW10" s="253"/>
      <c r="EX10" s="253"/>
      <c r="EY10" s="253"/>
      <c r="EZ10" s="253"/>
      <c r="FA10" s="253"/>
      <c r="FB10" s="253"/>
      <c r="FC10" s="253"/>
      <c r="FD10" s="253"/>
      <c r="FE10" s="253"/>
      <c r="FF10" s="253"/>
      <c r="FG10" s="253"/>
      <c r="FH10" s="253"/>
      <c r="FI10" s="253"/>
      <c r="FJ10" s="253"/>
      <c r="FK10" s="253"/>
      <c r="FL10" s="253"/>
      <c r="FM10" s="253"/>
      <c r="FN10" s="253"/>
      <c r="FO10" s="253"/>
      <c r="FP10" s="253"/>
      <c r="FQ10" s="253"/>
      <c r="FR10" s="253"/>
      <c r="FS10" s="253"/>
      <c r="FT10" s="253"/>
      <c r="FU10" s="253"/>
      <c r="FV10" s="253"/>
      <c r="FW10" s="253"/>
      <c r="FX10" s="253"/>
      <c r="FY10" s="253"/>
      <c r="FZ10" s="253"/>
      <c r="GA10" s="253"/>
      <c r="GB10" s="253"/>
      <c r="GC10" s="253"/>
      <c r="GD10" s="253"/>
      <c r="GE10" s="253"/>
      <c r="GF10" s="253"/>
      <c r="GG10" s="253"/>
      <c r="GH10" s="253"/>
      <c r="GI10" s="253"/>
      <c r="GJ10" s="253"/>
      <c r="GK10" s="253"/>
      <c r="GL10" s="253"/>
      <c r="GM10" s="253"/>
      <c r="GN10" s="253"/>
      <c r="GO10" s="253"/>
      <c r="GP10" s="253"/>
      <c r="GQ10" s="253"/>
      <c r="GR10" s="253"/>
      <c r="GS10" s="253"/>
      <c r="GT10" s="253"/>
      <c r="GU10" s="253"/>
      <c r="GV10" s="253"/>
      <c r="GW10" s="253"/>
      <c r="GX10" s="253"/>
      <c r="GY10" s="253"/>
      <c r="GZ10" s="253"/>
      <c r="HA10" s="253"/>
      <c r="HB10" s="253"/>
      <c r="HC10" s="253"/>
      <c r="HD10" s="253"/>
      <c r="HE10" s="253"/>
      <c r="HF10" s="253"/>
      <c r="HG10" s="253"/>
      <c r="HH10" s="253"/>
      <c r="HI10" s="253"/>
      <c r="HJ10" s="253"/>
      <c r="HK10" s="253"/>
      <c r="HL10" s="253"/>
      <c r="HM10" s="253"/>
      <c r="HN10" s="253"/>
      <c r="HO10" s="253"/>
      <c r="HP10" s="253"/>
      <c r="HQ10" s="253"/>
      <c r="HR10" s="253"/>
      <c r="HS10" s="253"/>
      <c r="HT10" s="253"/>
      <c r="HU10" s="253"/>
      <c r="HV10" s="253"/>
      <c r="HW10" s="253"/>
      <c r="HX10" s="253"/>
      <c r="HY10" s="253"/>
      <c r="HZ10" s="253"/>
      <c r="IA10" s="253"/>
      <c r="IB10" s="253"/>
      <c r="IC10" s="253"/>
      <c r="ID10" s="253"/>
      <c r="IE10" s="253"/>
      <c r="IF10" s="253"/>
      <c r="IG10" s="253"/>
      <c r="IH10" s="253"/>
      <c r="II10" s="253"/>
      <c r="IJ10" s="253"/>
      <c r="IK10" s="253"/>
      <c r="IL10" s="253"/>
      <c r="IM10" s="253"/>
      <c r="IN10" s="253"/>
      <c r="IO10" s="253"/>
      <c r="IP10" s="253"/>
      <c r="IQ10" s="253"/>
      <c r="IR10" s="253"/>
      <c r="IS10" s="253"/>
      <c r="IT10" s="253"/>
      <c r="IU10" s="253"/>
      <c r="IV10" s="253"/>
    </row>
    <row r="11" spans="1:256" ht="12.75" customHeight="1">
      <c r="A11" s="337">
        <f>A10+1</f>
        <v>94</v>
      </c>
      <c r="B11" s="339" t="s">
        <v>242</v>
      </c>
      <c r="C11" s="378"/>
      <c r="D11" s="537"/>
      <c r="E11" s="337">
        <f>E10+1</f>
        <v>94</v>
      </c>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c r="DS11" s="253"/>
      <c r="DT11" s="253"/>
      <c r="DU11" s="253"/>
      <c r="DV11" s="253"/>
      <c r="DW11" s="253"/>
      <c r="DX11" s="253"/>
      <c r="DY11" s="253"/>
      <c r="DZ11" s="253"/>
      <c r="EA11" s="253"/>
      <c r="EB11" s="253"/>
      <c r="EC11" s="253"/>
      <c r="ED11" s="253"/>
      <c r="EE11" s="253"/>
      <c r="EF11" s="253"/>
      <c r="EG11" s="253"/>
      <c r="EH11" s="253"/>
      <c r="EI11" s="253"/>
      <c r="EJ11" s="253"/>
      <c r="EK11" s="253"/>
      <c r="EL11" s="253"/>
      <c r="EM11" s="253"/>
      <c r="EN11" s="253"/>
      <c r="EO11" s="253"/>
      <c r="EP11" s="253"/>
      <c r="EQ11" s="253"/>
      <c r="ER11" s="253"/>
      <c r="ES11" s="253"/>
      <c r="ET11" s="253"/>
      <c r="EU11" s="253"/>
      <c r="EV11" s="253"/>
      <c r="EW11" s="253"/>
      <c r="EX11" s="253"/>
      <c r="EY11" s="253"/>
      <c r="EZ11" s="253"/>
      <c r="FA11" s="253"/>
      <c r="FB11" s="253"/>
      <c r="FC11" s="253"/>
      <c r="FD11" s="253"/>
      <c r="FE11" s="253"/>
      <c r="FF11" s="253"/>
      <c r="FG11" s="253"/>
      <c r="FH11" s="253"/>
      <c r="FI11" s="253"/>
      <c r="FJ11" s="253"/>
      <c r="FK11" s="253"/>
      <c r="FL11" s="253"/>
      <c r="FM11" s="253"/>
      <c r="FN11" s="253"/>
      <c r="FO11" s="253"/>
      <c r="FP11" s="253"/>
      <c r="FQ11" s="253"/>
      <c r="FR11" s="253"/>
      <c r="FS11" s="253"/>
      <c r="FT11" s="253"/>
      <c r="FU11" s="253"/>
      <c r="FV11" s="253"/>
      <c r="FW11" s="253"/>
      <c r="FX11" s="253"/>
      <c r="FY11" s="253"/>
      <c r="FZ11" s="253"/>
      <c r="GA11" s="253"/>
      <c r="GB11" s="253"/>
      <c r="GC11" s="253"/>
      <c r="GD11" s="253"/>
      <c r="GE11" s="253"/>
      <c r="GF11" s="253"/>
      <c r="GG11" s="253"/>
      <c r="GH11" s="253"/>
      <c r="GI11" s="253"/>
      <c r="GJ11" s="253"/>
      <c r="GK11" s="253"/>
      <c r="GL11" s="253"/>
      <c r="GM11" s="253"/>
      <c r="GN11" s="253"/>
      <c r="GO11" s="253"/>
      <c r="GP11" s="253"/>
      <c r="GQ11" s="253"/>
      <c r="GR11" s="253"/>
      <c r="GS11" s="253"/>
      <c r="GT11" s="253"/>
      <c r="GU11" s="253"/>
      <c r="GV11" s="253"/>
      <c r="GW11" s="253"/>
      <c r="GX11" s="253"/>
      <c r="GY11" s="253"/>
      <c r="GZ11" s="253"/>
      <c r="HA11" s="253"/>
      <c r="HB11" s="253"/>
      <c r="HC11" s="253"/>
      <c r="HD11" s="253"/>
      <c r="HE11" s="253"/>
      <c r="HF11" s="253"/>
      <c r="HG11" s="253"/>
      <c r="HH11" s="253"/>
      <c r="HI11" s="253"/>
      <c r="HJ11" s="253"/>
      <c r="HK11" s="253"/>
      <c r="HL11" s="253"/>
      <c r="HM11" s="253"/>
      <c r="HN11" s="253"/>
      <c r="HO11" s="253"/>
      <c r="HP11" s="253"/>
      <c r="HQ11" s="253"/>
      <c r="HR11" s="253"/>
      <c r="HS11" s="253"/>
      <c r="HT11" s="253"/>
      <c r="HU11" s="253"/>
      <c r="HV11" s="253"/>
      <c r="HW11" s="253"/>
      <c r="HX11" s="253"/>
      <c r="HY11" s="253"/>
      <c r="HZ11" s="253"/>
      <c r="IA11" s="253"/>
      <c r="IB11" s="253"/>
      <c r="IC11" s="253"/>
      <c r="ID11" s="253"/>
      <c r="IE11" s="253"/>
      <c r="IF11" s="253"/>
      <c r="IG11" s="253"/>
      <c r="IH11" s="253"/>
      <c r="II11" s="253"/>
      <c r="IJ11" s="253"/>
      <c r="IK11" s="253"/>
      <c r="IL11" s="253"/>
      <c r="IM11" s="253"/>
      <c r="IN11" s="253"/>
      <c r="IO11" s="253"/>
      <c r="IP11" s="253"/>
      <c r="IQ11" s="253"/>
      <c r="IR11" s="253"/>
      <c r="IS11" s="253"/>
      <c r="IT11" s="253"/>
      <c r="IU11" s="253"/>
      <c r="IV11" s="253"/>
    </row>
    <row r="12" spans="1:256" ht="12.75" customHeight="1">
      <c r="A12" s="337">
        <f>A11+1</f>
        <v>95</v>
      </c>
      <c r="B12" s="339" t="s">
        <v>243</v>
      </c>
      <c r="C12" s="378"/>
      <c r="D12" s="537">
        <v>0</v>
      </c>
      <c r="E12" s="337">
        <f>E11+1</f>
        <v>95</v>
      </c>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c r="DS12" s="253"/>
      <c r="DT12" s="253"/>
      <c r="DU12" s="253"/>
      <c r="DV12" s="253"/>
      <c r="DW12" s="253"/>
      <c r="DX12" s="253"/>
      <c r="DY12" s="253"/>
      <c r="DZ12" s="253"/>
      <c r="EA12" s="253"/>
      <c r="EB12" s="253"/>
      <c r="EC12" s="253"/>
      <c r="ED12" s="253"/>
      <c r="EE12" s="253"/>
      <c r="EF12" s="253"/>
      <c r="EG12" s="253"/>
      <c r="EH12" s="253"/>
      <c r="EI12" s="253"/>
      <c r="EJ12" s="253"/>
      <c r="EK12" s="253"/>
      <c r="EL12" s="253"/>
      <c r="EM12" s="253"/>
      <c r="EN12" s="253"/>
      <c r="EO12" s="253"/>
      <c r="EP12" s="253"/>
      <c r="EQ12" s="253"/>
      <c r="ER12" s="253"/>
      <c r="ES12" s="253"/>
      <c r="ET12" s="253"/>
      <c r="EU12" s="253"/>
      <c r="EV12" s="253"/>
      <c r="EW12" s="253"/>
      <c r="EX12" s="253"/>
      <c r="EY12" s="253"/>
      <c r="EZ12" s="253"/>
      <c r="FA12" s="253"/>
      <c r="FB12" s="253"/>
      <c r="FC12" s="253"/>
      <c r="FD12" s="253"/>
      <c r="FE12" s="253"/>
      <c r="FF12" s="253"/>
      <c r="FG12" s="253"/>
      <c r="FH12" s="253"/>
      <c r="FI12" s="253"/>
      <c r="FJ12" s="253"/>
      <c r="FK12" s="253"/>
      <c r="FL12" s="253"/>
      <c r="FM12" s="253"/>
      <c r="FN12" s="253"/>
      <c r="FO12" s="253"/>
      <c r="FP12" s="253"/>
      <c r="FQ12" s="253"/>
      <c r="FR12" s="253"/>
      <c r="FS12" s="253"/>
      <c r="FT12" s="253"/>
      <c r="FU12" s="253"/>
      <c r="FV12" s="253"/>
      <c r="FW12" s="253"/>
      <c r="FX12" s="253"/>
      <c r="FY12" s="253"/>
      <c r="FZ12" s="253"/>
      <c r="GA12" s="253"/>
      <c r="GB12" s="253"/>
      <c r="GC12" s="253"/>
      <c r="GD12" s="253"/>
      <c r="GE12" s="253"/>
      <c r="GF12" s="253"/>
      <c r="GG12" s="253"/>
      <c r="GH12" s="253"/>
      <c r="GI12" s="253"/>
      <c r="GJ12" s="253"/>
      <c r="GK12" s="253"/>
      <c r="GL12" s="253"/>
      <c r="GM12" s="253"/>
      <c r="GN12" s="253"/>
      <c r="GO12" s="253"/>
      <c r="GP12" s="253"/>
      <c r="GQ12" s="253"/>
      <c r="GR12" s="253"/>
      <c r="GS12" s="253"/>
      <c r="GT12" s="253"/>
      <c r="GU12" s="253"/>
      <c r="GV12" s="253"/>
      <c r="GW12" s="253"/>
      <c r="GX12" s="253"/>
      <c r="GY12" s="253"/>
      <c r="GZ12" s="253"/>
      <c r="HA12" s="253"/>
      <c r="HB12" s="253"/>
      <c r="HC12" s="253"/>
      <c r="HD12" s="253"/>
      <c r="HE12" s="253"/>
      <c r="HF12" s="253"/>
      <c r="HG12" s="253"/>
      <c r="HH12" s="253"/>
      <c r="HI12" s="253"/>
      <c r="HJ12" s="253"/>
      <c r="HK12" s="253"/>
      <c r="HL12" s="253"/>
      <c r="HM12" s="253"/>
      <c r="HN12" s="253"/>
      <c r="HO12" s="253"/>
      <c r="HP12" s="253"/>
      <c r="HQ12" s="253"/>
      <c r="HR12" s="253"/>
      <c r="HS12" s="253"/>
      <c r="HT12" s="253"/>
      <c r="HU12" s="253"/>
      <c r="HV12" s="253"/>
      <c r="HW12" s="253"/>
      <c r="HX12" s="253"/>
      <c r="HY12" s="253"/>
      <c r="HZ12" s="253"/>
      <c r="IA12" s="253"/>
      <c r="IB12" s="253"/>
      <c r="IC12" s="253"/>
      <c r="ID12" s="253"/>
      <c r="IE12" s="253"/>
      <c r="IF12" s="253"/>
      <c r="IG12" s="253"/>
      <c r="IH12" s="253"/>
      <c r="II12" s="253"/>
      <c r="IJ12" s="253"/>
      <c r="IK12" s="253"/>
      <c r="IL12" s="253"/>
      <c r="IM12" s="253"/>
      <c r="IN12" s="253"/>
      <c r="IO12" s="253"/>
      <c r="IP12" s="253"/>
      <c r="IQ12" s="253"/>
      <c r="IR12" s="253"/>
      <c r="IS12" s="253"/>
      <c r="IT12" s="253"/>
      <c r="IU12" s="253"/>
      <c r="IV12" s="253"/>
    </row>
    <row r="13" spans="1:256" ht="12.75" customHeight="1">
      <c r="A13" s="337">
        <f>A12+1</f>
        <v>96</v>
      </c>
      <c r="B13" s="339" t="s">
        <v>244</v>
      </c>
      <c r="C13" s="378"/>
      <c r="D13" s="537">
        <v>0</v>
      </c>
      <c r="E13" s="337">
        <f>E12+1</f>
        <v>96</v>
      </c>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c r="DS13" s="253"/>
      <c r="DT13" s="253"/>
      <c r="DU13" s="253"/>
      <c r="DV13" s="253"/>
      <c r="DW13" s="253"/>
      <c r="DX13" s="253"/>
      <c r="DY13" s="253"/>
      <c r="DZ13" s="253"/>
      <c r="EA13" s="253"/>
      <c r="EB13" s="253"/>
      <c r="EC13" s="253"/>
      <c r="ED13" s="253"/>
      <c r="EE13" s="253"/>
      <c r="EF13" s="253"/>
      <c r="EG13" s="253"/>
      <c r="EH13" s="253"/>
      <c r="EI13" s="253"/>
      <c r="EJ13" s="253"/>
      <c r="EK13" s="253"/>
      <c r="EL13" s="253"/>
      <c r="EM13" s="253"/>
      <c r="EN13" s="253"/>
      <c r="EO13" s="253"/>
      <c r="EP13" s="253"/>
      <c r="EQ13" s="253"/>
      <c r="ER13" s="253"/>
      <c r="ES13" s="253"/>
      <c r="ET13" s="253"/>
      <c r="EU13" s="253"/>
      <c r="EV13" s="253"/>
      <c r="EW13" s="253"/>
      <c r="EX13" s="253"/>
      <c r="EY13" s="253"/>
      <c r="EZ13" s="253"/>
      <c r="FA13" s="253"/>
      <c r="FB13" s="253"/>
      <c r="FC13" s="253"/>
      <c r="FD13" s="253"/>
      <c r="FE13" s="253"/>
      <c r="FF13" s="253"/>
      <c r="FG13" s="253"/>
      <c r="FH13" s="253"/>
      <c r="FI13" s="253"/>
      <c r="FJ13" s="253"/>
      <c r="FK13" s="253"/>
      <c r="FL13" s="253"/>
      <c r="FM13" s="253"/>
      <c r="FN13" s="253"/>
      <c r="FO13" s="253"/>
      <c r="FP13" s="253"/>
      <c r="FQ13" s="253"/>
      <c r="FR13" s="253"/>
      <c r="FS13" s="253"/>
      <c r="FT13" s="253"/>
      <c r="FU13" s="253"/>
      <c r="FV13" s="253"/>
      <c r="FW13" s="253"/>
      <c r="FX13" s="253"/>
      <c r="FY13" s="253"/>
      <c r="FZ13" s="253"/>
      <c r="GA13" s="253"/>
      <c r="GB13" s="253"/>
      <c r="GC13" s="253"/>
      <c r="GD13" s="253"/>
      <c r="GE13" s="253"/>
      <c r="GF13" s="253"/>
      <c r="GG13" s="253"/>
      <c r="GH13" s="253"/>
      <c r="GI13" s="253"/>
      <c r="GJ13" s="253"/>
      <c r="GK13" s="253"/>
      <c r="GL13" s="253"/>
      <c r="GM13" s="253"/>
      <c r="GN13" s="253"/>
      <c r="GO13" s="253"/>
      <c r="GP13" s="253"/>
      <c r="GQ13" s="253"/>
      <c r="GR13" s="253"/>
      <c r="GS13" s="253"/>
      <c r="GT13" s="253"/>
      <c r="GU13" s="253"/>
      <c r="GV13" s="253"/>
      <c r="GW13" s="253"/>
      <c r="GX13" s="253"/>
      <c r="GY13" s="253"/>
      <c r="GZ13" s="253"/>
      <c r="HA13" s="253"/>
      <c r="HB13" s="253"/>
      <c r="HC13" s="253"/>
      <c r="HD13" s="253"/>
      <c r="HE13" s="253"/>
      <c r="HF13" s="253"/>
      <c r="HG13" s="253"/>
      <c r="HH13" s="253"/>
      <c r="HI13" s="253"/>
      <c r="HJ13" s="253"/>
      <c r="HK13" s="253"/>
      <c r="HL13" s="253"/>
      <c r="HM13" s="253"/>
      <c r="HN13" s="253"/>
      <c r="HO13" s="253"/>
      <c r="HP13" s="253"/>
      <c r="HQ13" s="253"/>
      <c r="HR13" s="253"/>
      <c r="HS13" s="253"/>
      <c r="HT13" s="253"/>
      <c r="HU13" s="253"/>
      <c r="HV13" s="253"/>
      <c r="HW13" s="253"/>
      <c r="HX13" s="253"/>
      <c r="HY13" s="253"/>
      <c r="HZ13" s="253"/>
      <c r="IA13" s="253"/>
      <c r="IB13" s="253"/>
      <c r="IC13" s="253"/>
      <c r="ID13" s="253"/>
      <c r="IE13" s="253"/>
      <c r="IF13" s="253"/>
      <c r="IG13" s="253"/>
      <c r="IH13" s="253"/>
      <c r="II13" s="253"/>
      <c r="IJ13" s="253"/>
      <c r="IK13" s="253"/>
      <c r="IL13" s="253"/>
      <c r="IM13" s="253"/>
      <c r="IN13" s="253"/>
      <c r="IO13" s="253"/>
      <c r="IP13" s="253"/>
      <c r="IQ13" s="253"/>
      <c r="IR13" s="253"/>
      <c r="IS13" s="253"/>
      <c r="IT13" s="253"/>
      <c r="IU13" s="253"/>
      <c r="IV13" s="253"/>
    </row>
    <row r="14" spans="1:256" ht="12.75" customHeight="1" thickBot="1">
      <c r="A14" s="337">
        <v>97</v>
      </c>
      <c r="B14" s="339" t="s">
        <v>245</v>
      </c>
      <c r="C14" s="378"/>
      <c r="D14" s="538"/>
      <c r="E14" s="337">
        <v>97</v>
      </c>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c r="DS14" s="253"/>
      <c r="DT14" s="253"/>
      <c r="DU14" s="253"/>
      <c r="DV14" s="253"/>
      <c r="DW14" s="253"/>
      <c r="DX14" s="253"/>
      <c r="DY14" s="253"/>
      <c r="DZ14" s="253"/>
      <c r="EA14" s="253"/>
      <c r="EB14" s="253"/>
      <c r="EC14" s="253"/>
      <c r="ED14" s="253"/>
      <c r="EE14" s="253"/>
      <c r="EF14" s="253"/>
      <c r="EG14" s="253"/>
      <c r="EH14" s="253"/>
      <c r="EI14" s="253"/>
      <c r="EJ14" s="253"/>
      <c r="EK14" s="253"/>
      <c r="EL14" s="253"/>
      <c r="EM14" s="253"/>
      <c r="EN14" s="253"/>
      <c r="EO14" s="253"/>
      <c r="EP14" s="253"/>
      <c r="EQ14" s="253"/>
      <c r="ER14" s="253"/>
      <c r="ES14" s="253"/>
      <c r="ET14" s="253"/>
      <c r="EU14" s="253"/>
      <c r="EV14" s="253"/>
      <c r="EW14" s="253"/>
      <c r="EX14" s="253"/>
      <c r="EY14" s="253"/>
      <c r="EZ14" s="253"/>
      <c r="FA14" s="253"/>
      <c r="FB14" s="253"/>
      <c r="FC14" s="253"/>
      <c r="FD14" s="253"/>
      <c r="FE14" s="253"/>
      <c r="FF14" s="253"/>
      <c r="FG14" s="253"/>
      <c r="FH14" s="253"/>
      <c r="FI14" s="253"/>
      <c r="FJ14" s="253"/>
      <c r="FK14" s="253"/>
      <c r="FL14" s="253"/>
      <c r="FM14" s="253"/>
      <c r="FN14" s="253"/>
      <c r="FO14" s="253"/>
      <c r="FP14" s="253"/>
      <c r="FQ14" s="253"/>
      <c r="FR14" s="253"/>
      <c r="FS14" s="253"/>
      <c r="FT14" s="253"/>
      <c r="FU14" s="253"/>
      <c r="FV14" s="253"/>
      <c r="FW14" s="253"/>
      <c r="FX14" s="253"/>
      <c r="FY14" s="253"/>
      <c r="FZ14" s="253"/>
      <c r="GA14" s="253"/>
      <c r="GB14" s="253"/>
      <c r="GC14" s="253"/>
      <c r="GD14" s="253"/>
      <c r="GE14" s="253"/>
      <c r="GF14" s="253"/>
      <c r="GG14" s="253"/>
      <c r="GH14" s="253"/>
      <c r="GI14" s="253"/>
      <c r="GJ14" s="253"/>
      <c r="GK14" s="253"/>
      <c r="GL14" s="253"/>
      <c r="GM14" s="253"/>
      <c r="GN14" s="253"/>
      <c r="GO14" s="253"/>
      <c r="GP14" s="253"/>
      <c r="GQ14" s="253"/>
      <c r="GR14" s="253"/>
      <c r="GS14" s="253"/>
      <c r="GT14" s="253"/>
      <c r="GU14" s="253"/>
      <c r="GV14" s="253"/>
      <c r="GW14" s="253"/>
      <c r="GX14" s="253"/>
      <c r="GY14" s="253"/>
      <c r="GZ14" s="253"/>
      <c r="HA14" s="253"/>
      <c r="HB14" s="253"/>
      <c r="HC14" s="253"/>
      <c r="HD14" s="253"/>
      <c r="HE14" s="253"/>
      <c r="HF14" s="253"/>
      <c r="HG14" s="253"/>
      <c r="HH14" s="253"/>
      <c r="HI14" s="253"/>
      <c r="HJ14" s="253"/>
      <c r="HK14" s="253"/>
      <c r="HL14" s="253"/>
      <c r="HM14" s="253"/>
      <c r="HN14" s="253"/>
      <c r="HO14" s="253"/>
      <c r="HP14" s="253"/>
      <c r="HQ14" s="253"/>
      <c r="HR14" s="253"/>
      <c r="HS14" s="253"/>
      <c r="HT14" s="253"/>
      <c r="HU14" s="253"/>
      <c r="HV14" s="253"/>
      <c r="HW14" s="253"/>
      <c r="HX14" s="253"/>
      <c r="HY14" s="253"/>
      <c r="HZ14" s="253"/>
      <c r="IA14" s="253"/>
      <c r="IB14" s="253"/>
      <c r="IC14" s="253"/>
      <c r="ID14" s="253"/>
      <c r="IE14" s="253"/>
      <c r="IF14" s="253"/>
      <c r="IG14" s="253"/>
      <c r="IH14" s="253"/>
      <c r="II14" s="253"/>
      <c r="IJ14" s="253"/>
      <c r="IK14" s="253"/>
      <c r="IL14" s="253"/>
      <c r="IM14" s="253"/>
      <c r="IN14" s="253"/>
      <c r="IO14" s="253"/>
      <c r="IP14" s="253"/>
      <c r="IQ14" s="253"/>
      <c r="IR14" s="253"/>
      <c r="IS14" s="253"/>
      <c r="IT14" s="253"/>
      <c r="IU14" s="253"/>
      <c r="IV14" s="253"/>
    </row>
    <row r="15" spans="1:256" ht="12.75" customHeight="1">
      <c r="A15" s="337">
        <v>98</v>
      </c>
      <c r="B15" s="379" t="s">
        <v>189</v>
      </c>
      <c r="C15" s="380" t="s">
        <v>246</v>
      </c>
      <c r="D15" s="343">
        <f>SUM(D10:D14)</f>
        <v>0</v>
      </c>
      <c r="E15" s="337">
        <v>98</v>
      </c>
      <c r="F15" s="253" t="s">
        <v>54</v>
      </c>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c r="DS15" s="253"/>
      <c r="DT15" s="253"/>
      <c r="DU15" s="253"/>
      <c r="DV15" s="253"/>
      <c r="DW15" s="253"/>
      <c r="DX15" s="253"/>
      <c r="DY15" s="253"/>
      <c r="DZ15" s="253"/>
      <c r="EA15" s="253"/>
      <c r="EB15" s="253"/>
      <c r="EC15" s="253"/>
      <c r="ED15" s="253"/>
      <c r="EE15" s="253"/>
      <c r="EF15" s="253"/>
      <c r="EG15" s="253"/>
      <c r="EH15" s="253"/>
      <c r="EI15" s="253"/>
      <c r="EJ15" s="253"/>
      <c r="EK15" s="253"/>
      <c r="EL15" s="253"/>
      <c r="EM15" s="253"/>
      <c r="EN15" s="253"/>
      <c r="EO15" s="253"/>
      <c r="EP15" s="253"/>
      <c r="EQ15" s="253"/>
      <c r="ER15" s="253"/>
      <c r="ES15" s="253"/>
      <c r="ET15" s="253"/>
      <c r="EU15" s="253"/>
      <c r="EV15" s="253"/>
      <c r="EW15" s="253"/>
      <c r="EX15" s="253"/>
      <c r="EY15" s="253"/>
      <c r="EZ15" s="253"/>
      <c r="FA15" s="253"/>
      <c r="FB15" s="253"/>
      <c r="FC15" s="253"/>
      <c r="FD15" s="253"/>
      <c r="FE15" s="253"/>
      <c r="FF15" s="253"/>
      <c r="FG15" s="253"/>
      <c r="FH15" s="253"/>
      <c r="FI15" s="253"/>
      <c r="FJ15" s="253"/>
      <c r="FK15" s="253"/>
      <c r="FL15" s="253"/>
      <c r="FM15" s="253"/>
      <c r="FN15" s="253"/>
      <c r="FO15" s="253"/>
      <c r="FP15" s="253"/>
      <c r="FQ15" s="253"/>
      <c r="FR15" s="253"/>
      <c r="FS15" s="253"/>
      <c r="FT15" s="253"/>
      <c r="FU15" s="253"/>
      <c r="FV15" s="253"/>
      <c r="FW15" s="253"/>
      <c r="FX15" s="253"/>
      <c r="FY15" s="253"/>
      <c r="FZ15" s="253"/>
      <c r="GA15" s="253"/>
      <c r="GB15" s="253"/>
      <c r="GC15" s="253"/>
      <c r="GD15" s="253"/>
      <c r="GE15" s="253"/>
      <c r="GF15" s="253"/>
      <c r="GG15" s="253"/>
      <c r="GH15" s="253"/>
      <c r="GI15" s="253"/>
      <c r="GJ15" s="253"/>
      <c r="GK15" s="253"/>
      <c r="GL15" s="253"/>
      <c r="GM15" s="253"/>
      <c r="GN15" s="253"/>
      <c r="GO15" s="253"/>
      <c r="GP15" s="253"/>
      <c r="GQ15" s="253"/>
      <c r="GR15" s="253"/>
      <c r="GS15" s="253"/>
      <c r="GT15" s="253"/>
      <c r="GU15" s="253"/>
      <c r="GV15" s="253"/>
      <c r="GW15" s="253"/>
      <c r="GX15" s="253"/>
      <c r="GY15" s="253"/>
      <c r="GZ15" s="253"/>
      <c r="HA15" s="253"/>
      <c r="HB15" s="253"/>
      <c r="HC15" s="253"/>
      <c r="HD15" s="253"/>
      <c r="HE15" s="253"/>
      <c r="HF15" s="253"/>
      <c r="HG15" s="253"/>
      <c r="HH15" s="253"/>
      <c r="HI15" s="253"/>
      <c r="HJ15" s="253"/>
      <c r="HK15" s="253"/>
      <c r="HL15" s="253"/>
      <c r="HM15" s="253"/>
      <c r="HN15" s="253"/>
      <c r="HO15" s="253"/>
      <c r="HP15" s="253"/>
      <c r="HQ15" s="253"/>
      <c r="HR15" s="253"/>
      <c r="HS15" s="253"/>
      <c r="HT15" s="253"/>
      <c r="HU15" s="253"/>
      <c r="HV15" s="253"/>
      <c r="HW15" s="253"/>
      <c r="HX15" s="253"/>
      <c r="HY15" s="253"/>
      <c r="HZ15" s="253"/>
      <c r="IA15" s="253"/>
      <c r="IB15" s="253"/>
      <c r="IC15" s="253"/>
      <c r="ID15" s="253"/>
      <c r="IE15" s="253"/>
      <c r="IF15" s="253"/>
      <c r="IG15" s="253"/>
      <c r="IH15" s="253"/>
      <c r="II15" s="253"/>
      <c r="IJ15" s="253"/>
      <c r="IK15" s="253"/>
      <c r="IL15" s="253"/>
      <c r="IM15" s="253"/>
      <c r="IN15" s="253"/>
      <c r="IO15" s="253"/>
      <c r="IP15" s="253"/>
      <c r="IQ15" s="253"/>
      <c r="IR15" s="253"/>
      <c r="IS15" s="253"/>
      <c r="IT15" s="253"/>
      <c r="IU15" s="253"/>
      <c r="IV15" s="253"/>
    </row>
    <row r="16" spans="1:256" ht="7.5" customHeight="1">
      <c r="A16" s="381"/>
      <c r="B16" s="382"/>
      <c r="C16" s="383"/>
      <c r="D16" s="542"/>
      <c r="E16" s="381"/>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c r="FT16" s="253"/>
      <c r="FU16" s="253"/>
      <c r="FV16" s="253"/>
      <c r="FW16" s="253"/>
      <c r="FX16" s="253"/>
      <c r="FY16" s="253"/>
      <c r="FZ16" s="253"/>
      <c r="GA16" s="253"/>
      <c r="GB16" s="253"/>
      <c r="GC16" s="253"/>
      <c r="GD16" s="253"/>
      <c r="GE16" s="253"/>
      <c r="GF16" s="253"/>
      <c r="GG16" s="253"/>
      <c r="GH16" s="253"/>
      <c r="GI16" s="253"/>
      <c r="GJ16" s="253"/>
      <c r="GK16" s="253"/>
      <c r="GL16" s="253"/>
      <c r="GM16" s="253"/>
      <c r="GN16" s="253"/>
      <c r="GO16" s="253"/>
      <c r="GP16" s="253"/>
      <c r="GQ16" s="253"/>
      <c r="GR16" s="253"/>
      <c r="GS16" s="253"/>
      <c r="GT16" s="253"/>
      <c r="GU16" s="253"/>
      <c r="GV16" s="253"/>
      <c r="GW16" s="253"/>
      <c r="GX16" s="253"/>
      <c r="GY16" s="253"/>
      <c r="GZ16" s="253"/>
      <c r="HA16" s="253"/>
      <c r="HB16" s="253"/>
      <c r="HC16" s="253"/>
      <c r="HD16" s="253"/>
      <c r="HE16" s="253"/>
      <c r="HF16" s="253"/>
      <c r="HG16" s="253"/>
      <c r="HH16" s="253"/>
      <c r="HI16" s="253"/>
      <c r="HJ16" s="253"/>
      <c r="HK16" s="253"/>
      <c r="HL16" s="253"/>
      <c r="HM16" s="253"/>
      <c r="HN16" s="253"/>
      <c r="HO16" s="253"/>
      <c r="HP16" s="253"/>
      <c r="HQ16" s="253"/>
      <c r="HR16" s="253"/>
      <c r="HS16" s="253"/>
      <c r="HT16" s="253"/>
      <c r="HU16" s="253"/>
      <c r="HV16" s="253"/>
      <c r="HW16" s="253"/>
      <c r="HX16" s="253"/>
      <c r="HY16" s="253"/>
      <c r="HZ16" s="253"/>
      <c r="IA16" s="253"/>
      <c r="IB16" s="253"/>
      <c r="IC16" s="253"/>
      <c r="ID16" s="253"/>
      <c r="IE16" s="253"/>
      <c r="IF16" s="253"/>
      <c r="IG16" s="253"/>
      <c r="IH16" s="253"/>
      <c r="II16" s="253"/>
      <c r="IJ16" s="253"/>
      <c r="IK16" s="253"/>
      <c r="IL16" s="253"/>
      <c r="IM16" s="253"/>
      <c r="IN16" s="253"/>
      <c r="IO16" s="253"/>
      <c r="IP16" s="253"/>
      <c r="IQ16" s="253"/>
      <c r="IR16" s="253"/>
      <c r="IS16" s="253"/>
      <c r="IT16" s="253"/>
      <c r="IU16" s="253"/>
      <c r="IV16" s="253"/>
    </row>
    <row r="17" spans="1:256" ht="12" customHeight="1">
      <c r="A17" s="350" t="s">
        <v>439</v>
      </c>
      <c r="B17" s="351" t="s">
        <v>247</v>
      </c>
      <c r="C17" s="384"/>
      <c r="D17" s="541"/>
      <c r="E17" s="350" t="s">
        <v>439</v>
      </c>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253"/>
      <c r="CO17" s="253"/>
      <c r="CP17" s="253"/>
      <c r="CQ17" s="253"/>
      <c r="CR17" s="253"/>
      <c r="CS17" s="253"/>
      <c r="CT17" s="253"/>
      <c r="CU17" s="253"/>
      <c r="CV17" s="253"/>
      <c r="CW17" s="253"/>
      <c r="CX17" s="253"/>
      <c r="CY17" s="253"/>
      <c r="CZ17" s="253"/>
      <c r="DA17" s="253"/>
      <c r="DB17" s="253"/>
      <c r="DC17" s="253"/>
      <c r="DD17" s="253"/>
      <c r="DE17" s="253"/>
      <c r="DF17" s="253"/>
      <c r="DG17" s="253"/>
      <c r="DH17" s="253"/>
      <c r="DI17" s="253"/>
      <c r="DJ17" s="253"/>
      <c r="DK17" s="253"/>
      <c r="DL17" s="253"/>
      <c r="DM17" s="253"/>
      <c r="DN17" s="253"/>
      <c r="DO17" s="253"/>
      <c r="DP17" s="253"/>
      <c r="DQ17" s="253"/>
      <c r="DR17" s="253"/>
      <c r="DS17" s="253"/>
      <c r="DT17" s="253"/>
      <c r="DU17" s="253"/>
      <c r="DV17" s="253"/>
      <c r="DW17" s="253"/>
      <c r="DX17" s="253"/>
      <c r="DY17" s="253"/>
      <c r="DZ17" s="253"/>
      <c r="EA17" s="253"/>
      <c r="EB17" s="253"/>
      <c r="EC17" s="253"/>
      <c r="ED17" s="253"/>
      <c r="EE17" s="253"/>
      <c r="EF17" s="253"/>
      <c r="EG17" s="253"/>
      <c r="EH17" s="253"/>
      <c r="EI17" s="253"/>
      <c r="EJ17" s="253"/>
      <c r="EK17" s="253"/>
      <c r="EL17" s="253"/>
      <c r="EM17" s="253"/>
      <c r="EN17" s="253"/>
      <c r="EO17" s="253"/>
      <c r="EP17" s="253"/>
      <c r="EQ17" s="253"/>
      <c r="ER17" s="253"/>
      <c r="ES17" s="253"/>
      <c r="ET17" s="253"/>
      <c r="EU17" s="253"/>
      <c r="EV17" s="253"/>
      <c r="EW17" s="253"/>
      <c r="EX17" s="253"/>
      <c r="EY17" s="253"/>
      <c r="EZ17" s="253"/>
      <c r="FA17" s="253"/>
      <c r="FB17" s="253"/>
      <c r="FC17" s="253"/>
      <c r="FD17" s="253"/>
      <c r="FE17" s="253"/>
      <c r="FF17" s="253"/>
      <c r="FG17" s="253"/>
      <c r="FH17" s="253"/>
      <c r="FI17" s="253"/>
      <c r="FJ17" s="253"/>
      <c r="FK17" s="253"/>
      <c r="FL17" s="253"/>
      <c r="FM17" s="253"/>
      <c r="FN17" s="253"/>
      <c r="FO17" s="253"/>
      <c r="FP17" s="253"/>
      <c r="FQ17" s="253"/>
      <c r="FR17" s="253"/>
      <c r="FS17" s="253"/>
      <c r="FT17" s="253"/>
      <c r="FU17" s="253"/>
      <c r="FV17" s="253"/>
      <c r="FW17" s="253"/>
      <c r="FX17" s="253"/>
      <c r="FY17" s="253"/>
      <c r="FZ17" s="253"/>
      <c r="GA17" s="253"/>
      <c r="GB17" s="253"/>
      <c r="GC17" s="253"/>
      <c r="GD17" s="253"/>
      <c r="GE17" s="253"/>
      <c r="GF17" s="253"/>
      <c r="GG17" s="253"/>
      <c r="GH17" s="253"/>
      <c r="GI17" s="253"/>
      <c r="GJ17" s="253"/>
      <c r="GK17" s="253"/>
      <c r="GL17" s="253"/>
      <c r="GM17" s="253"/>
      <c r="GN17" s="253"/>
      <c r="GO17" s="253"/>
      <c r="GP17" s="253"/>
      <c r="GQ17" s="253"/>
      <c r="GR17" s="253"/>
      <c r="GS17" s="253"/>
      <c r="GT17" s="253"/>
      <c r="GU17" s="253"/>
      <c r="GV17" s="253"/>
      <c r="GW17" s="253"/>
      <c r="GX17" s="253"/>
      <c r="GY17" s="253"/>
      <c r="GZ17" s="253"/>
      <c r="HA17" s="253"/>
      <c r="HB17" s="253"/>
      <c r="HC17" s="253"/>
      <c r="HD17" s="253"/>
      <c r="HE17" s="253"/>
      <c r="HF17" s="253"/>
      <c r="HG17" s="253"/>
      <c r="HH17" s="253"/>
      <c r="HI17" s="253"/>
      <c r="HJ17" s="253"/>
      <c r="HK17" s="253"/>
      <c r="HL17" s="253"/>
      <c r="HM17" s="253"/>
      <c r="HN17" s="253"/>
      <c r="HO17" s="253"/>
      <c r="HP17" s="253"/>
      <c r="HQ17" s="253"/>
      <c r="HR17" s="253"/>
      <c r="HS17" s="253"/>
      <c r="HT17" s="253"/>
      <c r="HU17" s="253"/>
      <c r="HV17" s="253"/>
      <c r="HW17" s="253"/>
      <c r="HX17" s="253"/>
      <c r="HY17" s="253"/>
      <c r="HZ17" s="253"/>
      <c r="IA17" s="253"/>
      <c r="IB17" s="253"/>
      <c r="IC17" s="253"/>
      <c r="ID17" s="253"/>
      <c r="IE17" s="253"/>
      <c r="IF17" s="253"/>
      <c r="IG17" s="253"/>
      <c r="IH17" s="253"/>
      <c r="II17" s="253"/>
      <c r="IJ17" s="253"/>
      <c r="IK17" s="253"/>
      <c r="IL17" s="253"/>
      <c r="IM17" s="253"/>
      <c r="IN17" s="253"/>
      <c r="IO17" s="253"/>
      <c r="IP17" s="253"/>
      <c r="IQ17" s="253"/>
      <c r="IR17" s="253"/>
      <c r="IS17" s="253"/>
      <c r="IT17" s="253"/>
      <c r="IU17" s="253"/>
      <c r="IV17" s="253"/>
    </row>
    <row r="18" spans="1:256" ht="12.75" customHeight="1">
      <c r="A18" s="337">
        <v>99</v>
      </c>
      <c r="B18" s="385" t="s">
        <v>248</v>
      </c>
      <c r="C18" s="386"/>
      <c r="D18" s="420" t="s">
        <v>305</v>
      </c>
      <c r="E18" s="337">
        <v>99</v>
      </c>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3"/>
      <c r="DQ18" s="253"/>
      <c r="DR18" s="253"/>
      <c r="DS18" s="253"/>
      <c r="DT18" s="253"/>
      <c r="DU18" s="253"/>
      <c r="DV18" s="253"/>
      <c r="DW18" s="253"/>
      <c r="DX18" s="253"/>
      <c r="DY18" s="253"/>
      <c r="DZ18" s="253"/>
      <c r="EA18" s="253"/>
      <c r="EB18" s="253"/>
      <c r="EC18" s="253"/>
      <c r="ED18" s="253"/>
      <c r="EE18" s="253"/>
      <c r="EF18" s="253"/>
      <c r="EG18" s="253"/>
      <c r="EH18" s="253"/>
      <c r="EI18" s="253"/>
      <c r="EJ18" s="253"/>
      <c r="EK18" s="253"/>
      <c r="EL18" s="253"/>
      <c r="EM18" s="253"/>
      <c r="EN18" s="253"/>
      <c r="EO18" s="253"/>
      <c r="EP18" s="253"/>
      <c r="EQ18" s="253"/>
      <c r="ER18" s="253"/>
      <c r="ES18" s="253"/>
      <c r="ET18" s="253"/>
      <c r="EU18" s="253"/>
      <c r="EV18" s="253"/>
      <c r="EW18" s="253"/>
      <c r="EX18" s="253"/>
      <c r="EY18" s="253"/>
      <c r="EZ18" s="253"/>
      <c r="FA18" s="253"/>
      <c r="FB18" s="253"/>
      <c r="FC18" s="253"/>
      <c r="FD18" s="253"/>
      <c r="FE18" s="253"/>
      <c r="FF18" s="253"/>
      <c r="FG18" s="253"/>
      <c r="FH18" s="253"/>
      <c r="FI18" s="253"/>
      <c r="FJ18" s="253"/>
      <c r="FK18" s="253"/>
      <c r="FL18" s="253"/>
      <c r="FM18" s="253"/>
      <c r="FN18" s="253"/>
      <c r="FO18" s="253"/>
      <c r="FP18" s="253"/>
      <c r="FQ18" s="253"/>
      <c r="FR18" s="253"/>
      <c r="FS18" s="253"/>
      <c r="FT18" s="253"/>
      <c r="FU18" s="253"/>
      <c r="FV18" s="253"/>
      <c r="FW18" s="253"/>
      <c r="FX18" s="253"/>
      <c r="FY18" s="253"/>
      <c r="FZ18" s="253"/>
      <c r="GA18" s="253"/>
      <c r="GB18" s="253"/>
      <c r="GC18" s="253"/>
      <c r="GD18" s="253"/>
      <c r="GE18" s="253"/>
      <c r="GF18" s="253"/>
      <c r="GG18" s="253"/>
      <c r="GH18" s="253"/>
      <c r="GI18" s="253"/>
      <c r="GJ18" s="253"/>
      <c r="GK18" s="253"/>
      <c r="GL18" s="253"/>
      <c r="GM18" s="253"/>
      <c r="GN18" s="253"/>
      <c r="GO18" s="253"/>
      <c r="GP18" s="253"/>
      <c r="GQ18" s="253"/>
      <c r="GR18" s="253"/>
      <c r="GS18" s="253"/>
      <c r="GT18" s="253"/>
      <c r="GU18" s="253"/>
      <c r="GV18" s="253"/>
      <c r="GW18" s="253"/>
      <c r="GX18" s="253"/>
      <c r="GY18" s="253"/>
      <c r="GZ18" s="253"/>
      <c r="HA18" s="253"/>
      <c r="HB18" s="253"/>
      <c r="HC18" s="253"/>
      <c r="HD18" s="253"/>
      <c r="HE18" s="253"/>
      <c r="HF18" s="253"/>
      <c r="HG18" s="253"/>
      <c r="HH18" s="253"/>
      <c r="HI18" s="253"/>
      <c r="HJ18" s="253"/>
      <c r="HK18" s="253"/>
      <c r="HL18" s="253"/>
      <c r="HM18" s="253"/>
      <c r="HN18" s="253"/>
      <c r="HO18" s="253"/>
      <c r="HP18" s="253"/>
      <c r="HQ18" s="253"/>
      <c r="HR18" s="253"/>
      <c r="HS18" s="253"/>
      <c r="HT18" s="253"/>
      <c r="HU18" s="253"/>
      <c r="HV18" s="253"/>
      <c r="HW18" s="253"/>
      <c r="HX18" s="253"/>
      <c r="HY18" s="253"/>
      <c r="HZ18" s="253"/>
      <c r="IA18" s="253"/>
      <c r="IB18" s="253"/>
      <c r="IC18" s="253"/>
      <c r="ID18" s="253"/>
      <c r="IE18" s="253"/>
      <c r="IF18" s="253"/>
      <c r="IG18" s="253"/>
      <c r="IH18" s="253"/>
      <c r="II18" s="253"/>
      <c r="IJ18" s="253"/>
      <c r="IK18" s="253"/>
      <c r="IL18" s="253"/>
      <c r="IM18" s="253"/>
      <c r="IN18" s="253"/>
      <c r="IO18" s="253"/>
      <c r="IP18" s="253"/>
      <c r="IQ18" s="253"/>
      <c r="IR18" s="253"/>
      <c r="IS18" s="253"/>
      <c r="IT18" s="253"/>
      <c r="IU18" s="253"/>
      <c r="IV18" s="253"/>
    </row>
    <row r="19" spans="1:256" ht="12.75" customHeight="1">
      <c r="A19" s="337">
        <v>100</v>
      </c>
      <c r="B19" s="385" t="s">
        <v>249</v>
      </c>
      <c r="C19" s="386"/>
      <c r="D19" s="543"/>
      <c r="E19" s="337">
        <v>100</v>
      </c>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53"/>
      <c r="DH19" s="253"/>
      <c r="DI19" s="253"/>
      <c r="DJ19" s="253"/>
      <c r="DK19" s="253"/>
      <c r="DL19" s="253"/>
      <c r="DM19" s="253"/>
      <c r="DN19" s="253"/>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3"/>
      <c r="FF19" s="253"/>
      <c r="FG19" s="253"/>
      <c r="FH19" s="253"/>
      <c r="FI19" s="253"/>
      <c r="FJ19" s="253"/>
      <c r="FK19" s="253"/>
      <c r="FL19" s="253"/>
      <c r="FM19" s="253"/>
      <c r="FN19" s="253"/>
      <c r="FO19" s="253"/>
      <c r="FP19" s="253"/>
      <c r="FQ19" s="253"/>
      <c r="FR19" s="253"/>
      <c r="FS19" s="253"/>
      <c r="FT19" s="253"/>
      <c r="FU19" s="253"/>
      <c r="FV19" s="253"/>
      <c r="FW19" s="253"/>
      <c r="FX19" s="253"/>
      <c r="FY19" s="253"/>
      <c r="FZ19" s="253"/>
      <c r="GA19" s="253"/>
      <c r="GB19" s="253"/>
      <c r="GC19" s="253"/>
      <c r="GD19" s="253"/>
      <c r="GE19" s="253"/>
      <c r="GF19" s="253"/>
      <c r="GG19" s="253"/>
      <c r="GH19" s="253"/>
      <c r="GI19" s="253"/>
      <c r="GJ19" s="253"/>
      <c r="GK19" s="253"/>
      <c r="GL19" s="253"/>
      <c r="GM19" s="253"/>
      <c r="GN19" s="253"/>
      <c r="GO19" s="253"/>
      <c r="GP19" s="253"/>
      <c r="GQ19" s="253"/>
      <c r="GR19" s="253"/>
      <c r="GS19" s="253"/>
      <c r="GT19" s="253"/>
      <c r="GU19" s="253"/>
      <c r="GV19" s="253"/>
      <c r="GW19" s="253"/>
      <c r="GX19" s="253"/>
      <c r="GY19" s="253"/>
      <c r="GZ19" s="253"/>
      <c r="HA19" s="253"/>
      <c r="HB19" s="253"/>
      <c r="HC19" s="253"/>
      <c r="HD19" s="253"/>
      <c r="HE19" s="253"/>
      <c r="HF19" s="253"/>
      <c r="HG19" s="253"/>
      <c r="HH19" s="253"/>
      <c r="HI19" s="253"/>
      <c r="HJ19" s="253"/>
      <c r="HK19" s="253"/>
      <c r="HL19" s="253"/>
      <c r="HM19" s="253"/>
      <c r="HN19" s="253"/>
      <c r="HO19" s="253"/>
      <c r="HP19" s="253"/>
      <c r="HQ19" s="253"/>
      <c r="HR19" s="253"/>
      <c r="HS19" s="253"/>
      <c r="HT19" s="253"/>
      <c r="HU19" s="253"/>
      <c r="HV19" s="253"/>
      <c r="HW19" s="253"/>
      <c r="HX19" s="253"/>
      <c r="HY19" s="253"/>
      <c r="HZ19" s="253"/>
      <c r="IA19" s="253"/>
      <c r="IB19" s="253"/>
      <c r="IC19" s="253"/>
      <c r="ID19" s="253"/>
      <c r="IE19" s="253"/>
      <c r="IF19" s="253"/>
      <c r="IG19" s="253"/>
      <c r="IH19" s="253"/>
      <c r="II19" s="253"/>
      <c r="IJ19" s="253"/>
      <c r="IK19" s="253"/>
      <c r="IL19" s="253"/>
      <c r="IM19" s="253"/>
      <c r="IN19" s="253"/>
      <c r="IO19" s="253"/>
      <c r="IP19" s="253"/>
      <c r="IQ19" s="253"/>
      <c r="IR19" s="253"/>
      <c r="IS19" s="253"/>
      <c r="IT19" s="253"/>
      <c r="IU19" s="253"/>
      <c r="IV19" s="253"/>
    </row>
    <row r="20" spans="1:256" ht="12.75" customHeight="1" thickBot="1">
      <c r="A20" s="337">
        <v>101</v>
      </c>
      <c r="B20" s="385" t="s">
        <v>250</v>
      </c>
      <c r="C20" s="386"/>
      <c r="D20" s="544"/>
      <c r="E20" s="337">
        <v>101</v>
      </c>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3"/>
      <c r="BZ20" s="253"/>
      <c r="CA20" s="253"/>
      <c r="CB20" s="253"/>
      <c r="CC20" s="253"/>
      <c r="CD20" s="253"/>
      <c r="CE20" s="253"/>
      <c r="CF20" s="253"/>
      <c r="CG20" s="253"/>
      <c r="CH20" s="253"/>
      <c r="CI20" s="253"/>
      <c r="CJ20" s="253"/>
      <c r="CK20" s="253"/>
      <c r="CL20" s="253"/>
      <c r="CM20" s="253"/>
      <c r="CN20" s="253"/>
      <c r="CO20" s="253"/>
      <c r="CP20" s="253"/>
      <c r="CQ20" s="253"/>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3"/>
      <c r="GE20" s="253"/>
      <c r="GF20" s="253"/>
      <c r="GG20" s="253"/>
      <c r="GH20" s="253"/>
      <c r="GI20" s="253"/>
      <c r="GJ20" s="253"/>
      <c r="GK20" s="253"/>
      <c r="GL20" s="253"/>
      <c r="GM20" s="253"/>
      <c r="GN20" s="253"/>
      <c r="GO20" s="253"/>
      <c r="GP20" s="253"/>
      <c r="GQ20" s="253"/>
      <c r="GR20" s="253"/>
      <c r="GS20" s="253"/>
      <c r="GT20" s="253"/>
      <c r="GU20" s="253"/>
      <c r="GV20" s="253"/>
      <c r="GW20" s="253"/>
      <c r="GX20" s="253"/>
      <c r="GY20" s="253"/>
      <c r="GZ20" s="253"/>
      <c r="HA20" s="253"/>
      <c r="HB20" s="253"/>
      <c r="HC20" s="253"/>
      <c r="HD20" s="253"/>
      <c r="HE20" s="253"/>
      <c r="HF20" s="253"/>
      <c r="HG20" s="253"/>
      <c r="HH20" s="253"/>
      <c r="HI20" s="253"/>
      <c r="HJ20" s="253"/>
      <c r="HK20" s="253"/>
      <c r="HL20" s="253"/>
      <c r="HM20" s="253"/>
      <c r="HN20" s="253"/>
      <c r="HO20" s="253"/>
      <c r="HP20" s="253"/>
      <c r="HQ20" s="253"/>
      <c r="HR20" s="253"/>
      <c r="HS20" s="253"/>
      <c r="HT20" s="253"/>
      <c r="HU20" s="253"/>
      <c r="HV20" s="253"/>
      <c r="HW20" s="253"/>
      <c r="HX20" s="253"/>
      <c r="HY20" s="253"/>
      <c r="HZ20" s="253"/>
      <c r="IA20" s="253"/>
      <c r="IB20" s="253"/>
      <c r="IC20" s="253"/>
      <c r="ID20" s="253"/>
      <c r="IE20" s="253"/>
      <c r="IF20" s="253"/>
      <c r="IG20" s="253"/>
      <c r="IH20" s="253"/>
      <c r="II20" s="253"/>
      <c r="IJ20" s="253"/>
      <c r="IK20" s="253"/>
      <c r="IL20" s="253"/>
      <c r="IM20" s="253"/>
      <c r="IN20" s="253"/>
      <c r="IO20" s="253"/>
      <c r="IP20" s="253"/>
      <c r="IQ20" s="253"/>
      <c r="IR20" s="253"/>
      <c r="IS20" s="253"/>
      <c r="IT20" s="253"/>
      <c r="IU20" s="253"/>
      <c r="IV20" s="253"/>
    </row>
    <row r="21" spans="1:256" ht="12.75" customHeight="1">
      <c r="A21" s="337">
        <v>102</v>
      </c>
      <c r="B21" s="387" t="s">
        <v>190</v>
      </c>
      <c r="C21" s="386"/>
      <c r="D21" s="343">
        <f>SUM(D18:D20)</f>
        <v>0</v>
      </c>
      <c r="E21" s="337">
        <v>102</v>
      </c>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253"/>
      <c r="CM21" s="253"/>
      <c r="CN21" s="253"/>
      <c r="CO21" s="253"/>
      <c r="CP21" s="253"/>
      <c r="CQ21" s="253"/>
      <c r="CR21" s="253"/>
      <c r="CS21" s="253"/>
      <c r="CT21" s="253"/>
      <c r="CU21" s="253"/>
      <c r="CV21" s="253"/>
      <c r="CW21" s="253"/>
      <c r="CX21" s="253"/>
      <c r="CY21" s="253"/>
      <c r="CZ21" s="253"/>
      <c r="DA21" s="253"/>
      <c r="DB21" s="253"/>
      <c r="DC21" s="253"/>
      <c r="DD21" s="253"/>
      <c r="DE21" s="253"/>
      <c r="DF21" s="253"/>
      <c r="DG21" s="253"/>
      <c r="DH21" s="253"/>
      <c r="DI21" s="253"/>
      <c r="DJ21" s="253"/>
      <c r="DK21" s="253"/>
      <c r="DL21" s="253"/>
      <c r="DM21" s="253"/>
      <c r="DN21" s="253"/>
      <c r="DO21" s="253"/>
      <c r="DP21" s="253"/>
      <c r="DQ21" s="253"/>
      <c r="DR21" s="253"/>
      <c r="DS21" s="253"/>
      <c r="DT21" s="253"/>
      <c r="DU21" s="253"/>
      <c r="DV21" s="253"/>
      <c r="DW21" s="253"/>
      <c r="DX21" s="253"/>
      <c r="DY21" s="253"/>
      <c r="DZ21" s="253"/>
      <c r="EA21" s="253"/>
      <c r="EB21" s="253"/>
      <c r="EC21" s="253"/>
      <c r="ED21" s="253"/>
      <c r="EE21" s="253"/>
      <c r="EF21" s="253"/>
      <c r="EG21" s="253"/>
      <c r="EH21" s="253"/>
      <c r="EI21" s="253"/>
      <c r="EJ21" s="253"/>
      <c r="EK21" s="253"/>
      <c r="EL21" s="253"/>
      <c r="EM21" s="253"/>
      <c r="EN21" s="253"/>
      <c r="EO21" s="253"/>
      <c r="EP21" s="253"/>
      <c r="EQ21" s="253"/>
      <c r="ER21" s="253"/>
      <c r="ES21" s="253"/>
      <c r="ET21" s="253"/>
      <c r="EU21" s="253"/>
      <c r="EV21" s="253"/>
      <c r="EW21" s="253"/>
      <c r="EX21" s="253"/>
      <c r="EY21" s="253"/>
      <c r="EZ21" s="253"/>
      <c r="FA21" s="253"/>
      <c r="FB21" s="253"/>
      <c r="FC21" s="253"/>
      <c r="FD21" s="253"/>
      <c r="FE21" s="253"/>
      <c r="FF21" s="253"/>
      <c r="FG21" s="253"/>
      <c r="FH21" s="253"/>
      <c r="FI21" s="253"/>
      <c r="FJ21" s="253"/>
      <c r="FK21" s="253"/>
      <c r="FL21" s="253"/>
      <c r="FM21" s="253"/>
      <c r="FN21" s="253"/>
      <c r="FO21" s="253"/>
      <c r="FP21" s="253"/>
      <c r="FQ21" s="253"/>
      <c r="FR21" s="253"/>
      <c r="FS21" s="253"/>
      <c r="FT21" s="253"/>
      <c r="FU21" s="253"/>
      <c r="FV21" s="253"/>
      <c r="FW21" s="253"/>
      <c r="FX21" s="253"/>
      <c r="FY21" s="253"/>
      <c r="FZ21" s="253"/>
      <c r="GA21" s="253"/>
      <c r="GB21" s="253"/>
      <c r="GC21" s="253"/>
      <c r="GD21" s="253"/>
      <c r="GE21" s="253"/>
      <c r="GF21" s="253"/>
      <c r="GG21" s="253"/>
      <c r="GH21" s="253"/>
      <c r="GI21" s="253"/>
      <c r="GJ21" s="253"/>
      <c r="GK21" s="253"/>
      <c r="GL21" s="253"/>
      <c r="GM21" s="253"/>
      <c r="GN21" s="253"/>
      <c r="GO21" s="253"/>
      <c r="GP21" s="253"/>
      <c r="GQ21" s="253"/>
      <c r="GR21" s="253"/>
      <c r="GS21" s="253"/>
      <c r="GT21" s="253"/>
      <c r="GU21" s="253"/>
      <c r="GV21" s="253"/>
      <c r="GW21" s="253"/>
      <c r="GX21" s="253"/>
      <c r="GY21" s="253"/>
      <c r="GZ21" s="253"/>
      <c r="HA21" s="253"/>
      <c r="HB21" s="253"/>
      <c r="HC21" s="253"/>
      <c r="HD21" s="253"/>
      <c r="HE21" s="253"/>
      <c r="HF21" s="253"/>
      <c r="HG21" s="253"/>
      <c r="HH21" s="253"/>
      <c r="HI21" s="253"/>
      <c r="HJ21" s="253"/>
      <c r="HK21" s="253"/>
      <c r="HL21" s="253"/>
      <c r="HM21" s="253"/>
      <c r="HN21" s="253"/>
      <c r="HO21" s="253"/>
      <c r="HP21" s="253"/>
      <c r="HQ21" s="253"/>
      <c r="HR21" s="253"/>
      <c r="HS21" s="253"/>
      <c r="HT21" s="253"/>
      <c r="HU21" s="253"/>
      <c r="HV21" s="253"/>
      <c r="HW21" s="253"/>
      <c r="HX21" s="253"/>
      <c r="HY21" s="253"/>
      <c r="HZ21" s="253"/>
      <c r="IA21" s="253"/>
      <c r="IB21" s="253"/>
      <c r="IC21" s="253"/>
      <c r="ID21" s="253"/>
      <c r="IE21" s="253"/>
      <c r="IF21" s="253"/>
      <c r="IG21" s="253"/>
      <c r="IH21" s="253"/>
      <c r="II21" s="253"/>
      <c r="IJ21" s="253"/>
      <c r="IK21" s="253"/>
      <c r="IL21" s="253"/>
      <c r="IM21" s="253"/>
      <c r="IN21" s="253"/>
      <c r="IO21" s="253"/>
      <c r="IP21" s="253"/>
      <c r="IQ21" s="253"/>
      <c r="IR21" s="253"/>
      <c r="IS21" s="253"/>
      <c r="IT21" s="253"/>
      <c r="IU21" s="253"/>
      <c r="IV21" s="253"/>
    </row>
    <row r="22" spans="1:256" ht="7.5" customHeight="1">
      <c r="A22" s="350" t="s">
        <v>439</v>
      </c>
      <c r="B22" s="388"/>
      <c r="C22" s="384"/>
      <c r="D22" s="545"/>
      <c r="E22" s="350" t="s">
        <v>439</v>
      </c>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53"/>
      <c r="CJ22" s="253"/>
      <c r="CK22" s="253"/>
      <c r="CL22" s="253"/>
      <c r="CM22" s="253"/>
      <c r="CN22" s="253"/>
      <c r="CO22" s="253"/>
      <c r="CP22" s="253"/>
      <c r="CQ22" s="253"/>
      <c r="CR22" s="253"/>
      <c r="CS22" s="253"/>
      <c r="CT22" s="253"/>
      <c r="CU22" s="253"/>
      <c r="CV22" s="253"/>
      <c r="CW22" s="253"/>
      <c r="CX22" s="253"/>
      <c r="CY22" s="253"/>
      <c r="CZ22" s="253"/>
      <c r="DA22" s="253"/>
      <c r="DB22" s="253"/>
      <c r="DC22" s="253"/>
      <c r="DD22" s="253"/>
      <c r="DE22" s="253"/>
      <c r="DF22" s="253"/>
      <c r="DG22" s="253"/>
      <c r="DH22" s="253"/>
      <c r="DI22" s="253"/>
      <c r="DJ22" s="253"/>
      <c r="DK22" s="253"/>
      <c r="DL22" s="253"/>
      <c r="DM22" s="253"/>
      <c r="DN22" s="253"/>
      <c r="DO22" s="253"/>
      <c r="DP22" s="253"/>
      <c r="DQ22" s="253"/>
      <c r="DR22" s="253"/>
      <c r="DS22" s="253"/>
      <c r="DT22" s="253"/>
      <c r="DU22" s="253"/>
      <c r="DV22" s="253"/>
      <c r="DW22" s="253"/>
      <c r="DX22" s="253"/>
      <c r="DY22" s="253"/>
      <c r="DZ22" s="253"/>
      <c r="EA22" s="253"/>
      <c r="EB22" s="253"/>
      <c r="EC22" s="253"/>
      <c r="ED22" s="253"/>
      <c r="EE22" s="253"/>
      <c r="EF22" s="253"/>
      <c r="EG22" s="253"/>
      <c r="EH22" s="253"/>
      <c r="EI22" s="253"/>
      <c r="EJ22" s="253"/>
      <c r="EK22" s="253"/>
      <c r="EL22" s="253"/>
      <c r="EM22" s="253"/>
      <c r="EN22" s="253"/>
      <c r="EO22" s="253"/>
      <c r="EP22" s="253"/>
      <c r="EQ22" s="253"/>
      <c r="ER22" s="253"/>
      <c r="ES22" s="253"/>
      <c r="ET22" s="253"/>
      <c r="EU22" s="253"/>
      <c r="EV22" s="253"/>
      <c r="EW22" s="253"/>
      <c r="EX22" s="253"/>
      <c r="EY22" s="253"/>
      <c r="EZ22" s="253"/>
      <c r="FA22" s="253"/>
      <c r="FB22" s="253"/>
      <c r="FC22" s="253"/>
      <c r="FD22" s="253"/>
      <c r="FE22" s="253"/>
      <c r="FF22" s="253"/>
      <c r="FG22" s="253"/>
      <c r="FH22" s="253"/>
      <c r="FI22" s="253"/>
      <c r="FJ22" s="253"/>
      <c r="FK22" s="253"/>
      <c r="FL22" s="253"/>
      <c r="FM22" s="253"/>
      <c r="FN22" s="253"/>
      <c r="FO22" s="253"/>
      <c r="FP22" s="253"/>
      <c r="FQ22" s="253"/>
      <c r="FR22" s="253"/>
      <c r="FS22" s="253"/>
      <c r="FT22" s="253"/>
      <c r="FU22" s="253"/>
      <c r="FV22" s="253"/>
      <c r="FW22" s="253"/>
      <c r="FX22" s="253"/>
      <c r="FY22" s="253"/>
      <c r="FZ22" s="253"/>
      <c r="GA22" s="253"/>
      <c r="GB22" s="253"/>
      <c r="GC22" s="253"/>
      <c r="GD22" s="253"/>
      <c r="GE22" s="253"/>
      <c r="GF22" s="253"/>
      <c r="GG22" s="253"/>
      <c r="GH22" s="253"/>
      <c r="GI22" s="253"/>
      <c r="GJ22" s="253"/>
      <c r="GK22" s="253"/>
      <c r="GL22" s="253"/>
      <c r="GM22" s="253"/>
      <c r="GN22" s="253"/>
      <c r="GO22" s="253"/>
      <c r="GP22" s="253"/>
      <c r="GQ22" s="253"/>
      <c r="GR22" s="253"/>
      <c r="GS22" s="253"/>
      <c r="GT22" s="253"/>
      <c r="GU22" s="253"/>
      <c r="GV22" s="253"/>
      <c r="GW22" s="253"/>
      <c r="GX22" s="253"/>
      <c r="GY22" s="253"/>
      <c r="GZ22" s="253"/>
      <c r="HA22" s="253"/>
      <c r="HB22" s="253"/>
      <c r="HC22" s="253"/>
      <c r="HD22" s="253"/>
      <c r="HE22" s="253"/>
      <c r="HF22" s="253"/>
      <c r="HG22" s="253"/>
      <c r="HH22" s="253"/>
      <c r="HI22" s="253"/>
      <c r="HJ22" s="253"/>
      <c r="HK22" s="253"/>
      <c r="HL22" s="253"/>
      <c r="HM22" s="253"/>
      <c r="HN22" s="253"/>
      <c r="HO22" s="253"/>
      <c r="HP22" s="253"/>
      <c r="HQ22" s="253"/>
      <c r="HR22" s="253"/>
      <c r="HS22" s="253"/>
      <c r="HT22" s="253"/>
      <c r="HU22" s="253"/>
      <c r="HV22" s="253"/>
      <c r="HW22" s="253"/>
      <c r="HX22" s="253"/>
      <c r="HY22" s="253"/>
      <c r="HZ22" s="253"/>
      <c r="IA22" s="253"/>
      <c r="IB22" s="253"/>
      <c r="IC22" s="253"/>
      <c r="ID22" s="253"/>
      <c r="IE22" s="253"/>
      <c r="IF22" s="253"/>
      <c r="IG22" s="253"/>
      <c r="IH22" s="253"/>
      <c r="II22" s="253"/>
      <c r="IJ22" s="253"/>
      <c r="IK22" s="253"/>
      <c r="IL22" s="253"/>
      <c r="IM22" s="253"/>
      <c r="IN22" s="253"/>
      <c r="IO22" s="253"/>
      <c r="IP22" s="253"/>
      <c r="IQ22" s="253"/>
      <c r="IR22" s="253"/>
      <c r="IS22" s="253"/>
      <c r="IT22" s="253"/>
      <c r="IU22" s="253"/>
      <c r="IV22" s="253"/>
    </row>
    <row r="23" spans="1:256" ht="12" customHeight="1">
      <c r="A23" s="350"/>
      <c r="B23" s="351" t="s">
        <v>251</v>
      </c>
      <c r="C23" s="384"/>
      <c r="D23" s="546"/>
      <c r="E23" s="350"/>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c r="BW23" s="253"/>
      <c r="BX23" s="253"/>
      <c r="BY23" s="253"/>
      <c r="BZ23" s="253"/>
      <c r="CA23" s="253"/>
      <c r="CB23" s="253"/>
      <c r="CC23" s="253"/>
      <c r="CD23" s="253"/>
      <c r="CE23" s="253"/>
      <c r="CF23" s="253"/>
      <c r="CG23" s="253"/>
      <c r="CH23" s="253"/>
      <c r="CI23" s="253"/>
      <c r="CJ23" s="253"/>
      <c r="CK23" s="253"/>
      <c r="CL23" s="253"/>
      <c r="CM23" s="253"/>
      <c r="CN23" s="253"/>
      <c r="CO23" s="253"/>
      <c r="CP23" s="253"/>
      <c r="CQ23" s="253"/>
      <c r="CR23" s="253"/>
      <c r="CS23" s="253"/>
      <c r="CT23" s="253"/>
      <c r="CU23" s="253"/>
      <c r="CV23" s="253"/>
      <c r="CW23" s="253"/>
      <c r="CX23" s="253"/>
      <c r="CY23" s="253"/>
      <c r="CZ23" s="253"/>
      <c r="DA23" s="253"/>
      <c r="DB23" s="253"/>
      <c r="DC23" s="253"/>
      <c r="DD23" s="253"/>
      <c r="DE23" s="253"/>
      <c r="DF23" s="253"/>
      <c r="DG23" s="253"/>
      <c r="DH23" s="253"/>
      <c r="DI23" s="253"/>
      <c r="DJ23" s="253"/>
      <c r="DK23" s="253"/>
      <c r="DL23" s="253"/>
      <c r="DM23" s="253"/>
      <c r="DN23" s="253"/>
      <c r="DO23" s="253"/>
      <c r="DP23" s="253"/>
      <c r="DQ23" s="253"/>
      <c r="DR23" s="253"/>
      <c r="DS23" s="253"/>
      <c r="DT23" s="253"/>
      <c r="DU23" s="253"/>
      <c r="DV23" s="253"/>
      <c r="DW23" s="253"/>
      <c r="DX23" s="253"/>
      <c r="DY23" s="253"/>
      <c r="DZ23" s="253"/>
      <c r="EA23" s="253"/>
      <c r="EB23" s="253"/>
      <c r="EC23" s="253"/>
      <c r="ED23" s="253"/>
      <c r="EE23" s="253"/>
      <c r="EF23" s="253"/>
      <c r="EG23" s="253"/>
      <c r="EH23" s="253"/>
      <c r="EI23" s="253"/>
      <c r="EJ23" s="253"/>
      <c r="EK23" s="253"/>
      <c r="EL23" s="253"/>
      <c r="EM23" s="253"/>
      <c r="EN23" s="253"/>
      <c r="EO23" s="253"/>
      <c r="EP23" s="253"/>
      <c r="EQ23" s="253"/>
      <c r="ER23" s="253"/>
      <c r="ES23" s="253"/>
      <c r="ET23" s="253"/>
      <c r="EU23" s="253"/>
      <c r="EV23" s="253"/>
      <c r="EW23" s="253"/>
      <c r="EX23" s="253"/>
      <c r="EY23" s="253"/>
      <c r="EZ23" s="253"/>
      <c r="FA23" s="253"/>
      <c r="FB23" s="253"/>
      <c r="FC23" s="253"/>
      <c r="FD23" s="253"/>
      <c r="FE23" s="253"/>
      <c r="FF23" s="253"/>
      <c r="FG23" s="253"/>
      <c r="FH23" s="253"/>
      <c r="FI23" s="253"/>
      <c r="FJ23" s="253"/>
      <c r="FK23" s="253"/>
      <c r="FL23" s="253"/>
      <c r="FM23" s="253"/>
      <c r="FN23" s="253"/>
      <c r="FO23" s="253"/>
      <c r="FP23" s="253"/>
      <c r="FQ23" s="253"/>
      <c r="FR23" s="253"/>
      <c r="FS23" s="253"/>
      <c r="FT23" s="253"/>
      <c r="FU23" s="253"/>
      <c r="FV23" s="253"/>
      <c r="FW23" s="253"/>
      <c r="FX23" s="253"/>
      <c r="FY23" s="253"/>
      <c r="FZ23" s="253"/>
      <c r="GA23" s="253"/>
      <c r="GB23" s="253"/>
      <c r="GC23" s="253"/>
      <c r="GD23" s="253"/>
      <c r="GE23" s="253"/>
      <c r="GF23" s="253"/>
      <c r="GG23" s="253"/>
      <c r="GH23" s="253"/>
      <c r="GI23" s="253"/>
      <c r="GJ23" s="253"/>
      <c r="GK23" s="253"/>
      <c r="GL23" s="253"/>
      <c r="GM23" s="253"/>
      <c r="GN23" s="253"/>
      <c r="GO23" s="253"/>
      <c r="GP23" s="253"/>
      <c r="GQ23" s="253"/>
      <c r="GR23" s="253"/>
      <c r="GS23" s="253"/>
      <c r="GT23" s="253"/>
      <c r="GU23" s="253"/>
      <c r="GV23" s="253"/>
      <c r="GW23" s="253"/>
      <c r="GX23" s="253"/>
      <c r="GY23" s="253"/>
      <c r="GZ23" s="253"/>
      <c r="HA23" s="253"/>
      <c r="HB23" s="253"/>
      <c r="HC23" s="253"/>
      <c r="HD23" s="253"/>
      <c r="HE23" s="253"/>
      <c r="HF23" s="253"/>
      <c r="HG23" s="253"/>
      <c r="HH23" s="253"/>
      <c r="HI23" s="253"/>
      <c r="HJ23" s="253"/>
      <c r="HK23" s="253"/>
      <c r="HL23" s="253"/>
      <c r="HM23" s="253"/>
      <c r="HN23" s="253"/>
      <c r="HO23" s="253"/>
      <c r="HP23" s="253"/>
      <c r="HQ23" s="253"/>
      <c r="HR23" s="253"/>
      <c r="HS23" s="253"/>
      <c r="HT23" s="253"/>
      <c r="HU23" s="253"/>
      <c r="HV23" s="253"/>
      <c r="HW23" s="253"/>
      <c r="HX23" s="253"/>
      <c r="HY23" s="253"/>
      <c r="HZ23" s="253"/>
      <c r="IA23" s="253"/>
      <c r="IB23" s="253"/>
      <c r="IC23" s="253"/>
      <c r="ID23" s="253"/>
      <c r="IE23" s="253"/>
      <c r="IF23" s="253"/>
      <c r="IG23" s="253"/>
      <c r="IH23" s="253"/>
      <c r="II23" s="253"/>
      <c r="IJ23" s="253"/>
      <c r="IK23" s="253"/>
      <c r="IL23" s="253"/>
      <c r="IM23" s="253"/>
      <c r="IN23" s="253"/>
      <c r="IO23" s="253"/>
      <c r="IP23" s="253"/>
      <c r="IQ23" s="253"/>
      <c r="IR23" s="253"/>
      <c r="IS23" s="253"/>
      <c r="IT23" s="253"/>
      <c r="IU23" s="253"/>
      <c r="IV23" s="253"/>
    </row>
    <row r="24" spans="1:256" ht="12.75" customHeight="1">
      <c r="A24" s="340">
        <v>103</v>
      </c>
      <c r="B24" s="380" t="s">
        <v>252</v>
      </c>
      <c r="C24" s="389"/>
      <c r="D24" s="420" t="s">
        <v>305</v>
      </c>
      <c r="E24" s="340">
        <v>103</v>
      </c>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3"/>
      <c r="CL24" s="253"/>
      <c r="CM24" s="253"/>
      <c r="CN24" s="253"/>
      <c r="CO24" s="253"/>
      <c r="CP24" s="253"/>
      <c r="CQ24" s="253"/>
      <c r="CR24" s="253"/>
      <c r="CS24" s="253"/>
      <c r="CT24" s="253"/>
      <c r="CU24" s="253"/>
      <c r="CV24" s="253"/>
      <c r="CW24" s="253"/>
      <c r="CX24" s="253"/>
      <c r="CY24" s="253"/>
      <c r="CZ24" s="253"/>
      <c r="DA24" s="253"/>
      <c r="DB24" s="253"/>
      <c r="DC24" s="253"/>
      <c r="DD24" s="253"/>
      <c r="DE24" s="253"/>
      <c r="DF24" s="253"/>
      <c r="DG24" s="253"/>
      <c r="DH24" s="253"/>
      <c r="DI24" s="253"/>
      <c r="DJ24" s="253"/>
      <c r="DK24" s="253"/>
      <c r="DL24" s="253"/>
      <c r="DM24" s="253"/>
      <c r="DN24" s="253"/>
      <c r="DO24" s="253"/>
      <c r="DP24" s="253"/>
      <c r="DQ24" s="253"/>
      <c r="DR24" s="253"/>
      <c r="DS24" s="253"/>
      <c r="DT24" s="253"/>
      <c r="DU24" s="253"/>
      <c r="DV24" s="253"/>
      <c r="DW24" s="253"/>
      <c r="DX24" s="253"/>
      <c r="DY24" s="253"/>
      <c r="DZ24" s="253"/>
      <c r="EA24" s="253"/>
      <c r="EB24" s="253"/>
      <c r="EC24" s="253"/>
      <c r="ED24" s="253"/>
      <c r="EE24" s="253"/>
      <c r="EF24" s="253"/>
      <c r="EG24" s="253"/>
      <c r="EH24" s="253"/>
      <c r="EI24" s="253"/>
      <c r="EJ24" s="253"/>
      <c r="EK24" s="253"/>
      <c r="EL24" s="253"/>
      <c r="EM24" s="253"/>
      <c r="EN24" s="253"/>
      <c r="EO24" s="253"/>
      <c r="EP24" s="253"/>
      <c r="EQ24" s="253"/>
      <c r="ER24" s="253"/>
      <c r="ES24" s="253"/>
      <c r="ET24" s="253"/>
      <c r="EU24" s="253"/>
      <c r="EV24" s="253"/>
      <c r="EW24" s="253"/>
      <c r="EX24" s="253"/>
      <c r="EY24" s="253"/>
      <c r="EZ24" s="253"/>
      <c r="FA24" s="253"/>
      <c r="FB24" s="253"/>
      <c r="FC24" s="253"/>
      <c r="FD24" s="253"/>
      <c r="FE24" s="253"/>
      <c r="FF24" s="253"/>
      <c r="FG24" s="253"/>
      <c r="FH24" s="253"/>
      <c r="FI24" s="253"/>
      <c r="FJ24" s="253"/>
      <c r="FK24" s="253"/>
      <c r="FL24" s="253"/>
      <c r="FM24" s="253"/>
      <c r="FN24" s="253"/>
      <c r="FO24" s="253"/>
      <c r="FP24" s="253"/>
      <c r="FQ24" s="253"/>
      <c r="FR24" s="253"/>
      <c r="FS24" s="253"/>
      <c r="FT24" s="253"/>
      <c r="FU24" s="253"/>
      <c r="FV24" s="253"/>
      <c r="FW24" s="253"/>
      <c r="FX24" s="253"/>
      <c r="FY24" s="253"/>
      <c r="FZ24" s="253"/>
      <c r="GA24" s="253"/>
      <c r="GB24" s="253"/>
      <c r="GC24" s="253"/>
      <c r="GD24" s="253"/>
      <c r="GE24" s="253"/>
      <c r="GF24" s="253"/>
      <c r="GG24" s="253"/>
      <c r="GH24" s="253"/>
      <c r="GI24" s="253"/>
      <c r="GJ24" s="253"/>
      <c r="GK24" s="253"/>
      <c r="GL24" s="253"/>
      <c r="GM24" s="253"/>
      <c r="GN24" s="253"/>
      <c r="GO24" s="253"/>
      <c r="GP24" s="253"/>
      <c r="GQ24" s="253"/>
      <c r="GR24" s="253"/>
      <c r="GS24" s="253"/>
      <c r="GT24" s="253"/>
      <c r="GU24" s="253"/>
      <c r="GV24" s="253"/>
      <c r="GW24" s="253"/>
      <c r="GX24" s="253"/>
      <c r="GY24" s="253"/>
      <c r="GZ24" s="253"/>
      <c r="HA24" s="253"/>
      <c r="HB24" s="253"/>
      <c r="HC24" s="253"/>
      <c r="HD24" s="253"/>
      <c r="HE24" s="253"/>
      <c r="HF24" s="253"/>
      <c r="HG24" s="253"/>
      <c r="HH24" s="253"/>
      <c r="HI24" s="253"/>
      <c r="HJ24" s="253"/>
      <c r="HK24" s="253"/>
      <c r="HL24" s="253"/>
      <c r="HM24" s="253"/>
      <c r="HN24" s="253"/>
      <c r="HO24" s="253"/>
      <c r="HP24" s="253"/>
      <c r="HQ24" s="253"/>
      <c r="HR24" s="253"/>
      <c r="HS24" s="253"/>
      <c r="HT24" s="253"/>
      <c r="HU24" s="253"/>
      <c r="HV24" s="253"/>
      <c r="HW24" s="253"/>
      <c r="HX24" s="253"/>
      <c r="HY24" s="253"/>
      <c r="HZ24" s="253"/>
      <c r="IA24" s="253"/>
      <c r="IB24" s="253"/>
      <c r="IC24" s="253"/>
      <c r="ID24" s="253"/>
      <c r="IE24" s="253"/>
      <c r="IF24" s="253"/>
      <c r="IG24" s="253"/>
      <c r="IH24" s="253"/>
      <c r="II24" s="253"/>
      <c r="IJ24" s="253"/>
      <c r="IK24" s="253"/>
      <c r="IL24" s="253"/>
      <c r="IM24" s="253"/>
      <c r="IN24" s="253"/>
      <c r="IO24" s="253"/>
      <c r="IP24" s="253"/>
      <c r="IQ24" s="253"/>
      <c r="IR24" s="253"/>
      <c r="IS24" s="253"/>
      <c r="IT24" s="253"/>
      <c r="IU24" s="253"/>
      <c r="IV24" s="253"/>
    </row>
    <row r="25" spans="1:256" ht="12.75" customHeight="1">
      <c r="A25" s="390">
        <v>104</v>
      </c>
      <c r="B25" s="339" t="s">
        <v>253</v>
      </c>
      <c r="C25" s="380" t="s">
        <v>254</v>
      </c>
      <c r="D25" s="347">
        <v>145954.69</v>
      </c>
      <c r="E25" s="390">
        <v>104</v>
      </c>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3"/>
      <c r="CL25" s="253"/>
      <c r="CM25" s="253"/>
      <c r="CN25" s="253"/>
      <c r="CO25" s="253"/>
      <c r="CP25" s="253"/>
      <c r="CQ25" s="253"/>
      <c r="CR25" s="253"/>
      <c r="CS25" s="253"/>
      <c r="CT25" s="253"/>
      <c r="CU25" s="253"/>
      <c r="CV25" s="253"/>
      <c r="CW25" s="253"/>
      <c r="CX25" s="253"/>
      <c r="CY25" s="253"/>
      <c r="CZ25" s="253"/>
      <c r="DA25" s="253"/>
      <c r="DB25" s="253"/>
      <c r="DC25" s="253"/>
      <c r="DD25" s="253"/>
      <c r="DE25" s="253"/>
      <c r="DF25" s="253"/>
      <c r="DG25" s="253"/>
      <c r="DH25" s="253"/>
      <c r="DI25" s="253"/>
      <c r="DJ25" s="253"/>
      <c r="DK25" s="253"/>
      <c r="DL25" s="253"/>
      <c r="DM25" s="253"/>
      <c r="DN25" s="253"/>
      <c r="DO25" s="253"/>
      <c r="DP25" s="253"/>
      <c r="DQ25" s="253"/>
      <c r="DR25" s="253"/>
      <c r="DS25" s="253"/>
      <c r="DT25" s="253"/>
      <c r="DU25" s="253"/>
      <c r="DV25" s="253"/>
      <c r="DW25" s="253"/>
      <c r="DX25" s="253"/>
      <c r="DY25" s="253"/>
      <c r="DZ25" s="253"/>
      <c r="EA25" s="253"/>
      <c r="EB25" s="253"/>
      <c r="EC25" s="253"/>
      <c r="ED25" s="253"/>
      <c r="EE25" s="253"/>
      <c r="EF25" s="253"/>
      <c r="EG25" s="253"/>
      <c r="EH25" s="253"/>
      <c r="EI25" s="253"/>
      <c r="EJ25" s="253"/>
      <c r="EK25" s="253"/>
      <c r="EL25" s="253"/>
      <c r="EM25" s="253"/>
      <c r="EN25" s="253"/>
      <c r="EO25" s="253"/>
      <c r="EP25" s="253"/>
      <c r="EQ25" s="253"/>
      <c r="ER25" s="253"/>
      <c r="ES25" s="253"/>
      <c r="ET25" s="253"/>
      <c r="EU25" s="253"/>
      <c r="EV25" s="253"/>
      <c r="EW25" s="253"/>
      <c r="EX25" s="253"/>
      <c r="EY25" s="253"/>
      <c r="EZ25" s="253"/>
      <c r="FA25" s="253"/>
      <c r="FB25" s="253"/>
      <c r="FC25" s="253"/>
      <c r="FD25" s="253"/>
      <c r="FE25" s="253"/>
      <c r="FF25" s="253"/>
      <c r="FG25" s="253"/>
      <c r="FH25" s="253"/>
      <c r="FI25" s="253"/>
      <c r="FJ25" s="253"/>
      <c r="FK25" s="253"/>
      <c r="FL25" s="253"/>
      <c r="FM25" s="253"/>
      <c r="FN25" s="253"/>
      <c r="FO25" s="253"/>
      <c r="FP25" s="253"/>
      <c r="FQ25" s="253"/>
      <c r="FR25" s="253"/>
      <c r="FS25" s="253"/>
      <c r="FT25" s="253"/>
      <c r="FU25" s="253"/>
      <c r="FV25" s="253"/>
      <c r="FW25" s="253"/>
      <c r="FX25" s="253"/>
      <c r="FY25" s="253"/>
      <c r="FZ25" s="253"/>
      <c r="GA25" s="253"/>
      <c r="GB25" s="253"/>
      <c r="GC25" s="253"/>
      <c r="GD25" s="253"/>
      <c r="GE25" s="253"/>
      <c r="GF25" s="253"/>
      <c r="GG25" s="253"/>
      <c r="GH25" s="253"/>
      <c r="GI25" s="253"/>
      <c r="GJ25" s="253"/>
      <c r="GK25" s="253"/>
      <c r="GL25" s="253"/>
      <c r="GM25" s="253"/>
      <c r="GN25" s="253"/>
      <c r="GO25" s="253"/>
      <c r="GP25" s="253"/>
      <c r="GQ25" s="253"/>
      <c r="GR25" s="253"/>
      <c r="GS25" s="253"/>
      <c r="GT25" s="253"/>
      <c r="GU25" s="253"/>
      <c r="GV25" s="253"/>
      <c r="GW25" s="253"/>
      <c r="GX25" s="253"/>
      <c r="GY25" s="253"/>
      <c r="GZ25" s="253"/>
      <c r="HA25" s="253"/>
      <c r="HB25" s="253"/>
      <c r="HC25" s="253"/>
      <c r="HD25" s="253"/>
      <c r="HE25" s="253"/>
      <c r="HF25" s="253"/>
      <c r="HG25" s="253"/>
      <c r="HH25" s="253"/>
      <c r="HI25" s="253"/>
      <c r="HJ25" s="253"/>
      <c r="HK25" s="253"/>
      <c r="HL25" s="253"/>
      <c r="HM25" s="253"/>
      <c r="HN25" s="253"/>
      <c r="HO25" s="253"/>
      <c r="HP25" s="253"/>
      <c r="HQ25" s="253"/>
      <c r="HR25" s="253"/>
      <c r="HS25" s="253"/>
      <c r="HT25" s="253"/>
      <c r="HU25" s="253"/>
      <c r="HV25" s="253"/>
      <c r="HW25" s="253"/>
      <c r="HX25" s="253"/>
      <c r="HY25" s="253"/>
      <c r="HZ25" s="253"/>
      <c r="IA25" s="253"/>
      <c r="IB25" s="253"/>
      <c r="IC25" s="253"/>
      <c r="ID25" s="253"/>
      <c r="IE25" s="253"/>
      <c r="IF25" s="253"/>
      <c r="IG25" s="253"/>
      <c r="IH25" s="253"/>
      <c r="II25" s="253"/>
      <c r="IJ25" s="253"/>
      <c r="IK25" s="253"/>
      <c r="IL25" s="253"/>
      <c r="IM25" s="253"/>
      <c r="IN25" s="253"/>
      <c r="IO25" s="253"/>
      <c r="IP25" s="253"/>
      <c r="IQ25" s="253"/>
      <c r="IR25" s="253"/>
      <c r="IS25" s="253"/>
      <c r="IT25" s="253"/>
      <c r="IU25" s="253"/>
      <c r="IV25" s="253"/>
    </row>
    <row r="26" spans="1:256" ht="12.75" customHeight="1">
      <c r="A26" s="337">
        <f aca="true" t="shared" si="0" ref="A26:A36">A25+1</f>
        <v>105</v>
      </c>
      <c r="B26" s="339" t="s">
        <v>255</v>
      </c>
      <c r="C26" s="391"/>
      <c r="D26" s="347">
        <f>87995.98+183205.26</f>
        <v>271201.24</v>
      </c>
      <c r="E26" s="337">
        <f aca="true" t="shared" si="1" ref="E26:E36">E25+1</f>
        <v>105</v>
      </c>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253"/>
      <c r="BK26" s="253"/>
      <c r="BL26" s="253"/>
      <c r="BM26" s="253"/>
      <c r="BN26" s="253"/>
      <c r="BO26" s="253"/>
      <c r="BP26" s="253"/>
      <c r="BQ26" s="253"/>
      <c r="BR26" s="253"/>
      <c r="BS26" s="253"/>
      <c r="BT26" s="253"/>
      <c r="BU26" s="253"/>
      <c r="BV26" s="253"/>
      <c r="BW26" s="253"/>
      <c r="BX26" s="253"/>
      <c r="BY26" s="253"/>
      <c r="BZ26" s="253"/>
      <c r="CA26" s="253"/>
      <c r="CB26" s="253"/>
      <c r="CC26" s="253"/>
      <c r="CD26" s="253"/>
      <c r="CE26" s="253"/>
      <c r="CF26" s="253"/>
      <c r="CG26" s="253"/>
      <c r="CH26" s="253"/>
      <c r="CI26" s="253"/>
      <c r="CJ26" s="253"/>
      <c r="CK26" s="253"/>
      <c r="CL26" s="253"/>
      <c r="CM26" s="253"/>
      <c r="CN26" s="253"/>
      <c r="CO26" s="253"/>
      <c r="CP26" s="253"/>
      <c r="CQ26" s="253"/>
      <c r="CR26" s="253"/>
      <c r="CS26" s="253"/>
      <c r="CT26" s="253"/>
      <c r="CU26" s="253"/>
      <c r="CV26" s="253"/>
      <c r="CW26" s="253"/>
      <c r="CX26" s="253"/>
      <c r="CY26" s="253"/>
      <c r="CZ26" s="253"/>
      <c r="DA26" s="253"/>
      <c r="DB26" s="253"/>
      <c r="DC26" s="253"/>
      <c r="DD26" s="253"/>
      <c r="DE26" s="253"/>
      <c r="DF26" s="253"/>
      <c r="DG26" s="253"/>
      <c r="DH26" s="253"/>
      <c r="DI26" s="253"/>
      <c r="DJ26" s="253"/>
      <c r="DK26" s="253"/>
      <c r="DL26" s="253"/>
      <c r="DM26" s="253"/>
      <c r="DN26" s="253"/>
      <c r="DO26" s="253"/>
      <c r="DP26" s="253"/>
      <c r="DQ26" s="253"/>
      <c r="DR26" s="253"/>
      <c r="DS26" s="253"/>
      <c r="DT26" s="253"/>
      <c r="DU26" s="253"/>
      <c r="DV26" s="253"/>
      <c r="DW26" s="253"/>
      <c r="DX26" s="253"/>
      <c r="DY26" s="253"/>
      <c r="DZ26" s="253"/>
      <c r="EA26" s="253"/>
      <c r="EB26" s="253"/>
      <c r="EC26" s="253"/>
      <c r="ED26" s="253"/>
      <c r="EE26" s="253"/>
      <c r="EF26" s="253"/>
      <c r="EG26" s="253"/>
      <c r="EH26" s="253"/>
      <c r="EI26" s="253"/>
      <c r="EJ26" s="253"/>
      <c r="EK26" s="253"/>
      <c r="EL26" s="253"/>
      <c r="EM26" s="253"/>
      <c r="EN26" s="253"/>
      <c r="EO26" s="253"/>
      <c r="EP26" s="253"/>
      <c r="EQ26" s="253"/>
      <c r="ER26" s="253"/>
      <c r="ES26" s="253"/>
      <c r="ET26" s="253"/>
      <c r="EU26" s="253"/>
      <c r="EV26" s="253"/>
      <c r="EW26" s="253"/>
      <c r="EX26" s="253"/>
      <c r="EY26" s="253"/>
      <c r="EZ26" s="253"/>
      <c r="FA26" s="253"/>
      <c r="FB26" s="253"/>
      <c r="FC26" s="253"/>
      <c r="FD26" s="253"/>
      <c r="FE26" s="253"/>
      <c r="FF26" s="253"/>
      <c r="FG26" s="253"/>
      <c r="FH26" s="253"/>
      <c r="FI26" s="253"/>
      <c r="FJ26" s="253"/>
      <c r="FK26" s="253"/>
      <c r="FL26" s="253"/>
      <c r="FM26" s="253"/>
      <c r="FN26" s="253"/>
      <c r="FO26" s="253"/>
      <c r="FP26" s="253"/>
      <c r="FQ26" s="253"/>
      <c r="FR26" s="253"/>
      <c r="FS26" s="253"/>
      <c r="FT26" s="253"/>
      <c r="FU26" s="253"/>
      <c r="FV26" s="253"/>
      <c r="FW26" s="253"/>
      <c r="FX26" s="253"/>
      <c r="FY26" s="253"/>
      <c r="FZ26" s="253"/>
      <c r="GA26" s="253"/>
      <c r="GB26" s="253"/>
      <c r="GC26" s="253"/>
      <c r="GD26" s="253"/>
      <c r="GE26" s="253"/>
      <c r="GF26" s="253"/>
      <c r="GG26" s="253"/>
      <c r="GH26" s="253"/>
      <c r="GI26" s="253"/>
      <c r="GJ26" s="253"/>
      <c r="GK26" s="253"/>
      <c r="GL26" s="253"/>
      <c r="GM26" s="253"/>
      <c r="GN26" s="253"/>
      <c r="GO26" s="253"/>
      <c r="GP26" s="253"/>
      <c r="GQ26" s="253"/>
      <c r="GR26" s="253"/>
      <c r="GS26" s="253"/>
      <c r="GT26" s="253"/>
      <c r="GU26" s="253"/>
      <c r="GV26" s="253"/>
      <c r="GW26" s="253"/>
      <c r="GX26" s="253"/>
      <c r="GY26" s="253"/>
      <c r="GZ26" s="253"/>
      <c r="HA26" s="253"/>
      <c r="HB26" s="253"/>
      <c r="HC26" s="253"/>
      <c r="HD26" s="253"/>
      <c r="HE26" s="253"/>
      <c r="HF26" s="253"/>
      <c r="HG26" s="253"/>
      <c r="HH26" s="253"/>
      <c r="HI26" s="253"/>
      <c r="HJ26" s="253"/>
      <c r="HK26" s="253"/>
      <c r="HL26" s="253"/>
      <c r="HM26" s="253"/>
      <c r="HN26" s="253"/>
      <c r="HO26" s="253"/>
      <c r="HP26" s="253"/>
      <c r="HQ26" s="253"/>
      <c r="HR26" s="253"/>
      <c r="HS26" s="253"/>
      <c r="HT26" s="253"/>
      <c r="HU26" s="253"/>
      <c r="HV26" s="253"/>
      <c r="HW26" s="253"/>
      <c r="HX26" s="253"/>
      <c r="HY26" s="253"/>
      <c r="HZ26" s="253"/>
      <c r="IA26" s="253"/>
      <c r="IB26" s="253"/>
      <c r="IC26" s="253"/>
      <c r="ID26" s="253"/>
      <c r="IE26" s="253"/>
      <c r="IF26" s="253"/>
      <c r="IG26" s="253"/>
      <c r="IH26" s="253"/>
      <c r="II26" s="253"/>
      <c r="IJ26" s="253"/>
      <c r="IK26" s="253"/>
      <c r="IL26" s="253"/>
      <c r="IM26" s="253"/>
      <c r="IN26" s="253"/>
      <c r="IO26" s="253"/>
      <c r="IP26" s="253"/>
      <c r="IQ26" s="253"/>
      <c r="IR26" s="253"/>
      <c r="IS26" s="253"/>
      <c r="IT26" s="253"/>
      <c r="IU26" s="253"/>
      <c r="IV26" s="253"/>
    </row>
    <row r="27" spans="1:256" ht="12.75" customHeight="1">
      <c r="A27" s="337">
        <f t="shared" si="0"/>
        <v>106</v>
      </c>
      <c r="B27" s="339" t="s">
        <v>256</v>
      </c>
      <c r="C27" s="380" t="s">
        <v>257</v>
      </c>
      <c r="D27" s="347">
        <v>212348.77</v>
      </c>
      <c r="E27" s="337">
        <f t="shared" si="1"/>
        <v>106</v>
      </c>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53"/>
      <c r="CO27" s="253"/>
      <c r="CP27" s="253"/>
      <c r="CQ27" s="253"/>
      <c r="CR27" s="253"/>
      <c r="CS27" s="253"/>
      <c r="CT27" s="253"/>
      <c r="CU27" s="253"/>
      <c r="CV27" s="253"/>
      <c r="CW27" s="253"/>
      <c r="CX27" s="253"/>
      <c r="CY27" s="253"/>
      <c r="CZ27" s="253"/>
      <c r="DA27" s="253"/>
      <c r="DB27" s="253"/>
      <c r="DC27" s="253"/>
      <c r="DD27" s="253"/>
      <c r="DE27" s="253"/>
      <c r="DF27" s="253"/>
      <c r="DG27" s="253"/>
      <c r="DH27" s="253"/>
      <c r="DI27" s="253"/>
      <c r="DJ27" s="253"/>
      <c r="DK27" s="253"/>
      <c r="DL27" s="253"/>
      <c r="DM27" s="253"/>
      <c r="DN27" s="253"/>
      <c r="DO27" s="253"/>
      <c r="DP27" s="253"/>
      <c r="DQ27" s="253"/>
      <c r="DR27" s="253"/>
      <c r="DS27" s="253"/>
      <c r="DT27" s="253"/>
      <c r="DU27" s="253"/>
      <c r="DV27" s="253"/>
      <c r="DW27" s="253"/>
      <c r="DX27" s="253"/>
      <c r="DY27" s="253"/>
      <c r="DZ27" s="253"/>
      <c r="EA27" s="253"/>
      <c r="EB27" s="253"/>
      <c r="EC27" s="253"/>
      <c r="ED27" s="253"/>
      <c r="EE27" s="253"/>
      <c r="EF27" s="253"/>
      <c r="EG27" s="253"/>
      <c r="EH27" s="253"/>
      <c r="EI27" s="253"/>
      <c r="EJ27" s="253"/>
      <c r="EK27" s="253"/>
      <c r="EL27" s="253"/>
      <c r="EM27" s="253"/>
      <c r="EN27" s="253"/>
      <c r="EO27" s="253"/>
      <c r="EP27" s="253"/>
      <c r="EQ27" s="253"/>
      <c r="ER27" s="253"/>
      <c r="ES27" s="253"/>
      <c r="ET27" s="253"/>
      <c r="EU27" s="253"/>
      <c r="EV27" s="253"/>
      <c r="EW27" s="253"/>
      <c r="EX27" s="253"/>
      <c r="EY27" s="253"/>
      <c r="EZ27" s="253"/>
      <c r="FA27" s="253"/>
      <c r="FB27" s="253"/>
      <c r="FC27" s="253"/>
      <c r="FD27" s="253"/>
      <c r="FE27" s="253"/>
      <c r="FF27" s="253"/>
      <c r="FG27" s="253"/>
      <c r="FH27" s="253"/>
      <c r="FI27" s="253"/>
      <c r="FJ27" s="253"/>
      <c r="FK27" s="253"/>
      <c r="FL27" s="253"/>
      <c r="FM27" s="253"/>
      <c r="FN27" s="253"/>
      <c r="FO27" s="253"/>
      <c r="FP27" s="253"/>
      <c r="FQ27" s="253"/>
      <c r="FR27" s="253"/>
      <c r="FS27" s="253"/>
      <c r="FT27" s="253"/>
      <c r="FU27" s="253"/>
      <c r="FV27" s="253"/>
      <c r="FW27" s="253"/>
      <c r="FX27" s="253"/>
      <c r="FY27" s="253"/>
      <c r="FZ27" s="253"/>
      <c r="GA27" s="253"/>
      <c r="GB27" s="253"/>
      <c r="GC27" s="253"/>
      <c r="GD27" s="253"/>
      <c r="GE27" s="253"/>
      <c r="GF27" s="253"/>
      <c r="GG27" s="253"/>
      <c r="GH27" s="253"/>
      <c r="GI27" s="253"/>
      <c r="GJ27" s="253"/>
      <c r="GK27" s="253"/>
      <c r="GL27" s="253"/>
      <c r="GM27" s="253"/>
      <c r="GN27" s="253"/>
      <c r="GO27" s="253"/>
      <c r="GP27" s="253"/>
      <c r="GQ27" s="253"/>
      <c r="GR27" s="253"/>
      <c r="GS27" s="253"/>
      <c r="GT27" s="253"/>
      <c r="GU27" s="253"/>
      <c r="GV27" s="253"/>
      <c r="GW27" s="253"/>
      <c r="GX27" s="253"/>
      <c r="GY27" s="253"/>
      <c r="GZ27" s="253"/>
      <c r="HA27" s="253"/>
      <c r="HB27" s="253"/>
      <c r="HC27" s="253"/>
      <c r="HD27" s="253"/>
      <c r="HE27" s="253"/>
      <c r="HF27" s="253"/>
      <c r="HG27" s="253"/>
      <c r="HH27" s="253"/>
      <c r="HI27" s="253"/>
      <c r="HJ27" s="253"/>
      <c r="HK27" s="253"/>
      <c r="HL27" s="253"/>
      <c r="HM27" s="253"/>
      <c r="HN27" s="253"/>
      <c r="HO27" s="253"/>
      <c r="HP27" s="253"/>
      <c r="HQ27" s="253"/>
      <c r="HR27" s="253"/>
      <c r="HS27" s="253"/>
      <c r="HT27" s="253"/>
      <c r="HU27" s="253"/>
      <c r="HV27" s="253"/>
      <c r="HW27" s="253"/>
      <c r="HX27" s="253"/>
      <c r="HY27" s="253"/>
      <c r="HZ27" s="253"/>
      <c r="IA27" s="253"/>
      <c r="IB27" s="253"/>
      <c r="IC27" s="253"/>
      <c r="ID27" s="253"/>
      <c r="IE27" s="253"/>
      <c r="IF27" s="253"/>
      <c r="IG27" s="253"/>
      <c r="IH27" s="253"/>
      <c r="II27" s="253"/>
      <c r="IJ27" s="253"/>
      <c r="IK27" s="253"/>
      <c r="IL27" s="253"/>
      <c r="IM27" s="253"/>
      <c r="IN27" s="253"/>
      <c r="IO27" s="253"/>
      <c r="IP27" s="253"/>
      <c r="IQ27" s="253"/>
      <c r="IR27" s="253"/>
      <c r="IS27" s="253"/>
      <c r="IT27" s="253"/>
      <c r="IU27" s="253"/>
      <c r="IV27" s="253"/>
    </row>
    <row r="28" spans="1:256" ht="12.75" customHeight="1">
      <c r="A28" s="337">
        <f t="shared" si="0"/>
        <v>107</v>
      </c>
      <c r="B28" s="339" t="s">
        <v>258</v>
      </c>
      <c r="C28" s="380" t="s">
        <v>259</v>
      </c>
      <c r="D28" s="347">
        <v>118335.59</v>
      </c>
      <c r="E28" s="337">
        <f t="shared" si="1"/>
        <v>107</v>
      </c>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253"/>
      <c r="CM28" s="253"/>
      <c r="CN28" s="253"/>
      <c r="CO28" s="253"/>
      <c r="CP28" s="253"/>
      <c r="CQ28" s="253"/>
      <c r="CR28" s="253"/>
      <c r="CS28" s="253"/>
      <c r="CT28" s="253"/>
      <c r="CU28" s="253"/>
      <c r="CV28" s="253"/>
      <c r="CW28" s="253"/>
      <c r="CX28" s="253"/>
      <c r="CY28" s="253"/>
      <c r="CZ28" s="253"/>
      <c r="DA28" s="253"/>
      <c r="DB28" s="253"/>
      <c r="DC28" s="253"/>
      <c r="DD28" s="253"/>
      <c r="DE28" s="253"/>
      <c r="DF28" s="253"/>
      <c r="DG28" s="253"/>
      <c r="DH28" s="253"/>
      <c r="DI28" s="253"/>
      <c r="DJ28" s="253"/>
      <c r="DK28" s="253"/>
      <c r="DL28" s="253"/>
      <c r="DM28" s="253"/>
      <c r="DN28" s="253"/>
      <c r="DO28" s="253"/>
      <c r="DP28" s="253"/>
      <c r="DQ28" s="253"/>
      <c r="DR28" s="253"/>
      <c r="DS28" s="253"/>
      <c r="DT28" s="253"/>
      <c r="DU28" s="253"/>
      <c r="DV28" s="253"/>
      <c r="DW28" s="253"/>
      <c r="DX28" s="253"/>
      <c r="DY28" s="253"/>
      <c r="DZ28" s="253"/>
      <c r="EA28" s="253"/>
      <c r="EB28" s="253"/>
      <c r="EC28" s="253"/>
      <c r="ED28" s="253"/>
      <c r="EE28" s="253"/>
      <c r="EF28" s="253"/>
      <c r="EG28" s="253"/>
      <c r="EH28" s="253"/>
      <c r="EI28" s="253"/>
      <c r="EJ28" s="253"/>
      <c r="EK28" s="253"/>
      <c r="EL28" s="253"/>
      <c r="EM28" s="253"/>
      <c r="EN28" s="253"/>
      <c r="EO28" s="253"/>
      <c r="EP28" s="253"/>
      <c r="EQ28" s="253"/>
      <c r="ER28" s="253"/>
      <c r="ES28" s="253"/>
      <c r="ET28" s="253"/>
      <c r="EU28" s="253"/>
      <c r="EV28" s="253"/>
      <c r="EW28" s="253"/>
      <c r="EX28" s="253"/>
      <c r="EY28" s="253"/>
      <c r="EZ28" s="253"/>
      <c r="FA28" s="253"/>
      <c r="FB28" s="253"/>
      <c r="FC28" s="253"/>
      <c r="FD28" s="253"/>
      <c r="FE28" s="253"/>
      <c r="FF28" s="253"/>
      <c r="FG28" s="253"/>
      <c r="FH28" s="253"/>
      <c r="FI28" s="253"/>
      <c r="FJ28" s="253"/>
      <c r="FK28" s="253"/>
      <c r="FL28" s="253"/>
      <c r="FM28" s="253"/>
      <c r="FN28" s="253"/>
      <c r="FO28" s="253"/>
      <c r="FP28" s="253"/>
      <c r="FQ28" s="253"/>
      <c r="FR28" s="253"/>
      <c r="FS28" s="253"/>
      <c r="FT28" s="253"/>
      <c r="FU28" s="253"/>
      <c r="FV28" s="253"/>
      <c r="FW28" s="253"/>
      <c r="FX28" s="253"/>
      <c r="FY28" s="253"/>
      <c r="FZ28" s="253"/>
      <c r="GA28" s="253"/>
      <c r="GB28" s="253"/>
      <c r="GC28" s="253"/>
      <c r="GD28" s="253"/>
      <c r="GE28" s="253"/>
      <c r="GF28" s="253"/>
      <c r="GG28" s="253"/>
      <c r="GH28" s="253"/>
      <c r="GI28" s="253"/>
      <c r="GJ28" s="253"/>
      <c r="GK28" s="253"/>
      <c r="GL28" s="253"/>
      <c r="GM28" s="253"/>
      <c r="GN28" s="253"/>
      <c r="GO28" s="253"/>
      <c r="GP28" s="253"/>
      <c r="GQ28" s="253"/>
      <c r="GR28" s="253"/>
      <c r="GS28" s="253"/>
      <c r="GT28" s="253"/>
      <c r="GU28" s="253"/>
      <c r="GV28" s="253"/>
      <c r="GW28" s="253"/>
      <c r="GX28" s="253"/>
      <c r="GY28" s="253"/>
      <c r="GZ28" s="253"/>
      <c r="HA28" s="253"/>
      <c r="HB28" s="253"/>
      <c r="HC28" s="253"/>
      <c r="HD28" s="253"/>
      <c r="HE28" s="253"/>
      <c r="HF28" s="253"/>
      <c r="HG28" s="253"/>
      <c r="HH28" s="253"/>
      <c r="HI28" s="253"/>
      <c r="HJ28" s="253"/>
      <c r="HK28" s="253"/>
      <c r="HL28" s="253"/>
      <c r="HM28" s="253"/>
      <c r="HN28" s="253"/>
      <c r="HO28" s="253"/>
      <c r="HP28" s="253"/>
      <c r="HQ28" s="253"/>
      <c r="HR28" s="253"/>
      <c r="HS28" s="253"/>
      <c r="HT28" s="253"/>
      <c r="HU28" s="253"/>
      <c r="HV28" s="253"/>
      <c r="HW28" s="253"/>
      <c r="HX28" s="253"/>
      <c r="HY28" s="253"/>
      <c r="HZ28" s="253"/>
      <c r="IA28" s="253"/>
      <c r="IB28" s="253"/>
      <c r="IC28" s="253"/>
      <c r="ID28" s="253"/>
      <c r="IE28" s="253"/>
      <c r="IF28" s="253"/>
      <c r="IG28" s="253"/>
      <c r="IH28" s="253"/>
      <c r="II28" s="253"/>
      <c r="IJ28" s="253"/>
      <c r="IK28" s="253"/>
      <c r="IL28" s="253"/>
      <c r="IM28" s="253"/>
      <c r="IN28" s="253"/>
      <c r="IO28" s="253"/>
      <c r="IP28" s="253"/>
      <c r="IQ28" s="253"/>
      <c r="IR28" s="253"/>
      <c r="IS28" s="253"/>
      <c r="IT28" s="253"/>
      <c r="IU28" s="253"/>
      <c r="IV28" s="253"/>
    </row>
    <row r="29" spans="1:256" ht="12.75" customHeight="1">
      <c r="A29" s="337">
        <f t="shared" si="0"/>
        <v>108</v>
      </c>
      <c r="B29" s="339" t="s">
        <v>260</v>
      </c>
      <c r="C29" s="392"/>
      <c r="D29" s="347">
        <v>20325</v>
      </c>
      <c r="E29" s="337">
        <f t="shared" si="1"/>
        <v>108</v>
      </c>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c r="CO29" s="253"/>
      <c r="CP29" s="253"/>
      <c r="CQ29" s="253"/>
      <c r="CR29" s="253"/>
      <c r="CS29" s="253"/>
      <c r="CT29" s="253"/>
      <c r="CU29" s="253"/>
      <c r="CV29" s="253"/>
      <c r="CW29" s="253"/>
      <c r="CX29" s="253"/>
      <c r="CY29" s="253"/>
      <c r="CZ29" s="253"/>
      <c r="DA29" s="253"/>
      <c r="DB29" s="253"/>
      <c r="DC29" s="253"/>
      <c r="DD29" s="253"/>
      <c r="DE29" s="253"/>
      <c r="DF29" s="253"/>
      <c r="DG29" s="253"/>
      <c r="DH29" s="253"/>
      <c r="DI29" s="253"/>
      <c r="DJ29" s="253"/>
      <c r="DK29" s="253"/>
      <c r="DL29" s="253"/>
      <c r="DM29" s="253"/>
      <c r="DN29" s="253"/>
      <c r="DO29" s="253"/>
      <c r="DP29" s="253"/>
      <c r="DQ29" s="253"/>
      <c r="DR29" s="253"/>
      <c r="DS29" s="253"/>
      <c r="DT29" s="253"/>
      <c r="DU29" s="253"/>
      <c r="DV29" s="253"/>
      <c r="DW29" s="253"/>
      <c r="DX29" s="253"/>
      <c r="DY29" s="253"/>
      <c r="DZ29" s="253"/>
      <c r="EA29" s="253"/>
      <c r="EB29" s="253"/>
      <c r="EC29" s="253"/>
      <c r="ED29" s="253"/>
      <c r="EE29" s="253"/>
      <c r="EF29" s="253"/>
      <c r="EG29" s="253"/>
      <c r="EH29" s="253"/>
      <c r="EI29" s="253"/>
      <c r="EJ29" s="253"/>
      <c r="EK29" s="253"/>
      <c r="EL29" s="253"/>
      <c r="EM29" s="253"/>
      <c r="EN29" s="253"/>
      <c r="EO29" s="253"/>
      <c r="EP29" s="253"/>
      <c r="EQ29" s="253"/>
      <c r="ER29" s="253"/>
      <c r="ES29" s="253"/>
      <c r="ET29" s="253"/>
      <c r="EU29" s="253"/>
      <c r="EV29" s="253"/>
      <c r="EW29" s="253"/>
      <c r="EX29" s="253"/>
      <c r="EY29" s="253"/>
      <c r="EZ29" s="253"/>
      <c r="FA29" s="253"/>
      <c r="FB29" s="253"/>
      <c r="FC29" s="253"/>
      <c r="FD29" s="253"/>
      <c r="FE29" s="253"/>
      <c r="FF29" s="253"/>
      <c r="FG29" s="253"/>
      <c r="FH29" s="253"/>
      <c r="FI29" s="253"/>
      <c r="FJ29" s="253"/>
      <c r="FK29" s="253"/>
      <c r="FL29" s="253"/>
      <c r="FM29" s="253"/>
      <c r="FN29" s="253"/>
      <c r="FO29" s="253"/>
      <c r="FP29" s="253"/>
      <c r="FQ29" s="253"/>
      <c r="FR29" s="253"/>
      <c r="FS29" s="253"/>
      <c r="FT29" s="253"/>
      <c r="FU29" s="253"/>
      <c r="FV29" s="253"/>
      <c r="FW29" s="253"/>
      <c r="FX29" s="253"/>
      <c r="FY29" s="253"/>
      <c r="FZ29" s="253"/>
      <c r="GA29" s="253"/>
      <c r="GB29" s="253"/>
      <c r="GC29" s="253"/>
      <c r="GD29" s="253"/>
      <c r="GE29" s="253"/>
      <c r="GF29" s="253"/>
      <c r="GG29" s="253"/>
      <c r="GH29" s="253"/>
      <c r="GI29" s="253"/>
      <c r="GJ29" s="253"/>
      <c r="GK29" s="253"/>
      <c r="GL29" s="253"/>
      <c r="GM29" s="253"/>
      <c r="GN29" s="253"/>
      <c r="GO29" s="253"/>
      <c r="GP29" s="253"/>
      <c r="GQ29" s="253"/>
      <c r="GR29" s="253"/>
      <c r="GS29" s="253"/>
      <c r="GT29" s="253"/>
      <c r="GU29" s="253"/>
      <c r="GV29" s="253"/>
      <c r="GW29" s="253"/>
      <c r="GX29" s="253"/>
      <c r="GY29" s="253"/>
      <c r="GZ29" s="253"/>
      <c r="HA29" s="253"/>
      <c r="HB29" s="253"/>
      <c r="HC29" s="253"/>
      <c r="HD29" s="253"/>
      <c r="HE29" s="253"/>
      <c r="HF29" s="253"/>
      <c r="HG29" s="253"/>
      <c r="HH29" s="253"/>
      <c r="HI29" s="253"/>
      <c r="HJ29" s="253"/>
      <c r="HK29" s="253"/>
      <c r="HL29" s="253"/>
      <c r="HM29" s="253"/>
      <c r="HN29" s="253"/>
      <c r="HO29" s="253"/>
      <c r="HP29" s="253"/>
      <c r="HQ29" s="253"/>
      <c r="HR29" s="253"/>
      <c r="HS29" s="253"/>
      <c r="HT29" s="253"/>
      <c r="HU29" s="253"/>
      <c r="HV29" s="253"/>
      <c r="HW29" s="253"/>
      <c r="HX29" s="253"/>
      <c r="HY29" s="253"/>
      <c r="HZ29" s="253"/>
      <c r="IA29" s="253"/>
      <c r="IB29" s="253"/>
      <c r="IC29" s="253"/>
      <c r="ID29" s="253"/>
      <c r="IE29" s="253"/>
      <c r="IF29" s="253"/>
      <c r="IG29" s="253"/>
      <c r="IH29" s="253"/>
      <c r="II29" s="253"/>
      <c r="IJ29" s="253"/>
      <c r="IK29" s="253"/>
      <c r="IL29" s="253"/>
      <c r="IM29" s="253"/>
      <c r="IN29" s="253"/>
      <c r="IO29" s="253"/>
      <c r="IP29" s="253"/>
      <c r="IQ29" s="253"/>
      <c r="IR29" s="253"/>
      <c r="IS29" s="253"/>
      <c r="IT29" s="253"/>
      <c r="IU29" s="253"/>
      <c r="IV29" s="253"/>
    </row>
    <row r="30" spans="1:256" ht="12.75" customHeight="1">
      <c r="A30" s="337">
        <f t="shared" si="0"/>
        <v>109</v>
      </c>
      <c r="B30" s="339" t="s">
        <v>261</v>
      </c>
      <c r="C30" s="392"/>
      <c r="D30" s="347">
        <v>3850.82</v>
      </c>
      <c r="E30" s="337">
        <f t="shared" si="1"/>
        <v>109</v>
      </c>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53"/>
      <c r="CM30" s="253"/>
      <c r="CN30" s="253"/>
      <c r="CO30" s="253"/>
      <c r="CP30" s="253"/>
      <c r="CQ30" s="253"/>
      <c r="CR30" s="253"/>
      <c r="CS30" s="253"/>
      <c r="CT30" s="253"/>
      <c r="CU30" s="253"/>
      <c r="CV30" s="253"/>
      <c r="CW30" s="253"/>
      <c r="CX30" s="253"/>
      <c r="CY30" s="253"/>
      <c r="CZ30" s="253"/>
      <c r="DA30" s="253"/>
      <c r="DB30" s="253"/>
      <c r="DC30" s="253"/>
      <c r="DD30" s="253"/>
      <c r="DE30" s="253"/>
      <c r="DF30" s="253"/>
      <c r="DG30" s="253"/>
      <c r="DH30" s="253"/>
      <c r="DI30" s="253"/>
      <c r="DJ30" s="253"/>
      <c r="DK30" s="253"/>
      <c r="DL30" s="253"/>
      <c r="DM30" s="253"/>
      <c r="DN30" s="253"/>
      <c r="DO30" s="253"/>
      <c r="DP30" s="253"/>
      <c r="DQ30" s="253"/>
      <c r="DR30" s="253"/>
      <c r="DS30" s="253"/>
      <c r="DT30" s="253"/>
      <c r="DU30" s="253"/>
      <c r="DV30" s="253"/>
      <c r="DW30" s="253"/>
      <c r="DX30" s="253"/>
      <c r="DY30" s="253"/>
      <c r="DZ30" s="253"/>
      <c r="EA30" s="253"/>
      <c r="EB30" s="253"/>
      <c r="EC30" s="253"/>
      <c r="ED30" s="253"/>
      <c r="EE30" s="253"/>
      <c r="EF30" s="253"/>
      <c r="EG30" s="253"/>
      <c r="EH30" s="253"/>
      <c r="EI30" s="253"/>
      <c r="EJ30" s="253"/>
      <c r="EK30" s="253"/>
      <c r="EL30" s="253"/>
      <c r="EM30" s="253"/>
      <c r="EN30" s="253"/>
      <c r="EO30" s="253"/>
      <c r="EP30" s="253"/>
      <c r="EQ30" s="253"/>
      <c r="ER30" s="253"/>
      <c r="ES30" s="253"/>
      <c r="ET30" s="253"/>
      <c r="EU30" s="253"/>
      <c r="EV30" s="253"/>
      <c r="EW30" s="253"/>
      <c r="EX30" s="253"/>
      <c r="EY30" s="253"/>
      <c r="EZ30" s="253"/>
      <c r="FA30" s="253"/>
      <c r="FB30" s="253"/>
      <c r="FC30" s="253"/>
      <c r="FD30" s="253"/>
      <c r="FE30" s="253"/>
      <c r="FF30" s="253"/>
      <c r="FG30" s="253"/>
      <c r="FH30" s="253"/>
      <c r="FI30" s="253"/>
      <c r="FJ30" s="253"/>
      <c r="FK30" s="253"/>
      <c r="FL30" s="253"/>
      <c r="FM30" s="253"/>
      <c r="FN30" s="253"/>
      <c r="FO30" s="253"/>
      <c r="FP30" s="253"/>
      <c r="FQ30" s="253"/>
      <c r="FR30" s="253"/>
      <c r="FS30" s="253"/>
      <c r="FT30" s="253"/>
      <c r="FU30" s="253"/>
      <c r="FV30" s="253"/>
      <c r="FW30" s="253"/>
      <c r="FX30" s="253"/>
      <c r="FY30" s="253"/>
      <c r="FZ30" s="253"/>
      <c r="GA30" s="253"/>
      <c r="GB30" s="253"/>
      <c r="GC30" s="253"/>
      <c r="GD30" s="253"/>
      <c r="GE30" s="253"/>
      <c r="GF30" s="253"/>
      <c r="GG30" s="253"/>
      <c r="GH30" s="253"/>
      <c r="GI30" s="253"/>
      <c r="GJ30" s="253"/>
      <c r="GK30" s="253"/>
      <c r="GL30" s="253"/>
      <c r="GM30" s="253"/>
      <c r="GN30" s="253"/>
      <c r="GO30" s="253"/>
      <c r="GP30" s="253"/>
      <c r="GQ30" s="253"/>
      <c r="GR30" s="253"/>
      <c r="GS30" s="253"/>
      <c r="GT30" s="253"/>
      <c r="GU30" s="253"/>
      <c r="GV30" s="253"/>
      <c r="GW30" s="253"/>
      <c r="GX30" s="253"/>
      <c r="GY30" s="253"/>
      <c r="GZ30" s="253"/>
      <c r="HA30" s="253"/>
      <c r="HB30" s="253"/>
      <c r="HC30" s="253"/>
      <c r="HD30" s="253"/>
      <c r="HE30" s="253"/>
      <c r="HF30" s="253"/>
      <c r="HG30" s="253"/>
      <c r="HH30" s="253"/>
      <c r="HI30" s="253"/>
      <c r="HJ30" s="253"/>
      <c r="HK30" s="253"/>
      <c r="HL30" s="253"/>
      <c r="HM30" s="253"/>
      <c r="HN30" s="253"/>
      <c r="HO30" s="253"/>
      <c r="HP30" s="253"/>
      <c r="HQ30" s="253"/>
      <c r="HR30" s="253"/>
      <c r="HS30" s="253"/>
      <c r="HT30" s="253"/>
      <c r="HU30" s="253"/>
      <c r="HV30" s="253"/>
      <c r="HW30" s="253"/>
      <c r="HX30" s="253"/>
      <c r="HY30" s="253"/>
      <c r="HZ30" s="253"/>
      <c r="IA30" s="253"/>
      <c r="IB30" s="253"/>
      <c r="IC30" s="253"/>
      <c r="ID30" s="253"/>
      <c r="IE30" s="253"/>
      <c r="IF30" s="253"/>
      <c r="IG30" s="253"/>
      <c r="IH30" s="253"/>
      <c r="II30" s="253"/>
      <c r="IJ30" s="253"/>
      <c r="IK30" s="253"/>
      <c r="IL30" s="253"/>
      <c r="IM30" s="253"/>
      <c r="IN30" s="253"/>
      <c r="IO30" s="253"/>
      <c r="IP30" s="253"/>
      <c r="IQ30" s="253"/>
      <c r="IR30" s="253"/>
      <c r="IS30" s="253"/>
      <c r="IT30" s="253"/>
      <c r="IU30" s="253"/>
      <c r="IV30" s="253"/>
    </row>
    <row r="31" spans="1:256" ht="12.75" customHeight="1">
      <c r="A31" s="337">
        <f t="shared" si="0"/>
        <v>110</v>
      </c>
      <c r="B31" s="339" t="s">
        <v>262</v>
      </c>
      <c r="C31" s="392"/>
      <c r="D31" s="347"/>
      <c r="E31" s="337">
        <f t="shared" si="1"/>
        <v>110</v>
      </c>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c r="EI31" s="253"/>
      <c r="EJ31" s="253"/>
      <c r="EK31" s="253"/>
      <c r="EL31" s="253"/>
      <c r="EM31" s="253"/>
      <c r="EN31" s="253"/>
      <c r="EO31" s="253"/>
      <c r="EP31" s="253"/>
      <c r="EQ31" s="253"/>
      <c r="ER31" s="253"/>
      <c r="ES31" s="253"/>
      <c r="ET31" s="253"/>
      <c r="EU31" s="253"/>
      <c r="EV31" s="253"/>
      <c r="EW31" s="253"/>
      <c r="EX31" s="253"/>
      <c r="EY31" s="253"/>
      <c r="EZ31" s="253"/>
      <c r="FA31" s="253"/>
      <c r="FB31" s="253"/>
      <c r="FC31" s="253"/>
      <c r="FD31" s="253"/>
      <c r="FE31" s="253"/>
      <c r="FF31" s="253"/>
      <c r="FG31" s="253"/>
      <c r="FH31" s="253"/>
      <c r="FI31" s="253"/>
      <c r="FJ31" s="253"/>
      <c r="FK31" s="253"/>
      <c r="FL31" s="253"/>
      <c r="FM31" s="253"/>
      <c r="FN31" s="253"/>
      <c r="FO31" s="253"/>
      <c r="FP31" s="253"/>
      <c r="FQ31" s="253"/>
      <c r="FR31" s="253"/>
      <c r="FS31" s="253"/>
      <c r="FT31" s="253"/>
      <c r="FU31" s="253"/>
      <c r="FV31" s="253"/>
      <c r="FW31" s="253"/>
      <c r="FX31" s="253"/>
      <c r="FY31" s="253"/>
      <c r="FZ31" s="253"/>
      <c r="GA31" s="253"/>
      <c r="GB31" s="253"/>
      <c r="GC31" s="253"/>
      <c r="GD31" s="253"/>
      <c r="GE31" s="253"/>
      <c r="GF31" s="253"/>
      <c r="GG31" s="253"/>
      <c r="GH31" s="253"/>
      <c r="GI31" s="253"/>
      <c r="GJ31" s="253"/>
      <c r="GK31" s="253"/>
      <c r="GL31" s="253"/>
      <c r="GM31" s="253"/>
      <c r="GN31" s="253"/>
      <c r="GO31" s="253"/>
      <c r="GP31" s="253"/>
      <c r="GQ31" s="253"/>
      <c r="GR31" s="253"/>
      <c r="GS31" s="253"/>
      <c r="GT31" s="253"/>
      <c r="GU31" s="253"/>
      <c r="GV31" s="253"/>
      <c r="GW31" s="253"/>
      <c r="GX31" s="253"/>
      <c r="GY31" s="253"/>
      <c r="GZ31" s="253"/>
      <c r="HA31" s="253"/>
      <c r="HB31" s="253"/>
      <c r="HC31" s="253"/>
      <c r="HD31" s="253"/>
      <c r="HE31" s="253"/>
      <c r="HF31" s="253"/>
      <c r="HG31" s="253"/>
      <c r="HH31" s="253"/>
      <c r="HI31" s="253"/>
      <c r="HJ31" s="253"/>
      <c r="HK31" s="253"/>
      <c r="HL31" s="253"/>
      <c r="HM31" s="253"/>
      <c r="HN31" s="253"/>
      <c r="HO31" s="253"/>
      <c r="HP31" s="253"/>
      <c r="HQ31" s="253"/>
      <c r="HR31" s="253"/>
      <c r="HS31" s="253"/>
      <c r="HT31" s="253"/>
      <c r="HU31" s="253"/>
      <c r="HV31" s="253"/>
      <c r="HW31" s="253"/>
      <c r="HX31" s="253"/>
      <c r="HY31" s="253"/>
      <c r="HZ31" s="253"/>
      <c r="IA31" s="253"/>
      <c r="IB31" s="253"/>
      <c r="IC31" s="253"/>
      <c r="ID31" s="253"/>
      <c r="IE31" s="253"/>
      <c r="IF31" s="253"/>
      <c r="IG31" s="253"/>
      <c r="IH31" s="253"/>
      <c r="II31" s="253"/>
      <c r="IJ31" s="253"/>
      <c r="IK31" s="253"/>
      <c r="IL31" s="253"/>
      <c r="IM31" s="253"/>
      <c r="IN31" s="253"/>
      <c r="IO31" s="253"/>
      <c r="IP31" s="253"/>
      <c r="IQ31" s="253"/>
      <c r="IR31" s="253"/>
      <c r="IS31" s="253"/>
      <c r="IT31" s="253"/>
      <c r="IU31" s="253"/>
      <c r="IV31" s="253"/>
    </row>
    <row r="32" spans="1:256" ht="12.75" customHeight="1">
      <c r="A32" s="337">
        <f t="shared" si="0"/>
        <v>111</v>
      </c>
      <c r="B32" s="339" t="s">
        <v>263</v>
      </c>
      <c r="C32" s="392"/>
      <c r="D32" s="347"/>
      <c r="E32" s="337">
        <f t="shared" si="1"/>
        <v>111</v>
      </c>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s="253"/>
      <c r="BT32" s="253"/>
      <c r="BU32" s="253"/>
      <c r="BV32" s="253"/>
      <c r="BW32" s="253"/>
      <c r="BX32" s="253"/>
      <c r="BY32" s="253"/>
      <c r="BZ32" s="253"/>
      <c r="CA32" s="253"/>
      <c r="CB32" s="253"/>
      <c r="CC32" s="253"/>
      <c r="CD32" s="253"/>
      <c r="CE32" s="253"/>
      <c r="CF32" s="253"/>
      <c r="CG32" s="253"/>
      <c r="CH32" s="253"/>
      <c r="CI32" s="253"/>
      <c r="CJ32" s="253"/>
      <c r="CK32" s="253"/>
      <c r="CL32" s="253"/>
      <c r="CM32" s="253"/>
      <c r="CN32" s="253"/>
      <c r="CO32" s="253"/>
      <c r="CP32" s="253"/>
      <c r="CQ32" s="253"/>
      <c r="CR32" s="253"/>
      <c r="CS32" s="253"/>
      <c r="CT32" s="253"/>
      <c r="CU32" s="253"/>
      <c r="CV32" s="253"/>
      <c r="CW32" s="253"/>
      <c r="CX32" s="253"/>
      <c r="CY32" s="253"/>
      <c r="CZ32" s="253"/>
      <c r="DA32" s="253"/>
      <c r="DB32" s="253"/>
      <c r="DC32" s="253"/>
      <c r="DD32" s="253"/>
      <c r="DE32" s="253"/>
      <c r="DF32" s="253"/>
      <c r="DG32" s="253"/>
      <c r="DH32" s="253"/>
      <c r="DI32" s="253"/>
      <c r="DJ32" s="253"/>
      <c r="DK32" s="253"/>
      <c r="DL32" s="253"/>
      <c r="DM32" s="253"/>
      <c r="DN32" s="253"/>
      <c r="DO32" s="253"/>
      <c r="DP32" s="253"/>
      <c r="DQ32" s="253"/>
      <c r="DR32" s="253"/>
      <c r="DS32" s="253"/>
      <c r="DT32" s="253"/>
      <c r="DU32" s="253"/>
      <c r="DV32" s="253"/>
      <c r="DW32" s="253"/>
      <c r="DX32" s="253"/>
      <c r="DY32" s="253"/>
      <c r="DZ32" s="253"/>
      <c r="EA32" s="253"/>
      <c r="EB32" s="253"/>
      <c r="EC32" s="253"/>
      <c r="ED32" s="253"/>
      <c r="EE32" s="253"/>
      <c r="EF32" s="253"/>
      <c r="EG32" s="253"/>
      <c r="EH32" s="253"/>
      <c r="EI32" s="253"/>
      <c r="EJ32" s="253"/>
      <c r="EK32" s="253"/>
      <c r="EL32" s="253"/>
      <c r="EM32" s="253"/>
      <c r="EN32" s="253"/>
      <c r="EO32" s="253"/>
      <c r="EP32" s="253"/>
      <c r="EQ32" s="253"/>
      <c r="ER32" s="253"/>
      <c r="ES32" s="253"/>
      <c r="ET32" s="253"/>
      <c r="EU32" s="253"/>
      <c r="EV32" s="253"/>
      <c r="EW32" s="253"/>
      <c r="EX32" s="253"/>
      <c r="EY32" s="253"/>
      <c r="EZ32" s="253"/>
      <c r="FA32" s="253"/>
      <c r="FB32" s="253"/>
      <c r="FC32" s="253"/>
      <c r="FD32" s="253"/>
      <c r="FE32" s="253"/>
      <c r="FF32" s="253"/>
      <c r="FG32" s="253"/>
      <c r="FH32" s="253"/>
      <c r="FI32" s="253"/>
      <c r="FJ32" s="253"/>
      <c r="FK32" s="253"/>
      <c r="FL32" s="253"/>
      <c r="FM32" s="253"/>
      <c r="FN32" s="253"/>
      <c r="FO32" s="253"/>
      <c r="FP32" s="253"/>
      <c r="FQ32" s="253"/>
      <c r="FR32" s="253"/>
      <c r="FS32" s="253"/>
      <c r="FT32" s="253"/>
      <c r="FU32" s="253"/>
      <c r="FV32" s="253"/>
      <c r="FW32" s="253"/>
      <c r="FX32" s="253"/>
      <c r="FY32" s="253"/>
      <c r="FZ32" s="253"/>
      <c r="GA32" s="253"/>
      <c r="GB32" s="253"/>
      <c r="GC32" s="253"/>
      <c r="GD32" s="253"/>
      <c r="GE32" s="253"/>
      <c r="GF32" s="253"/>
      <c r="GG32" s="253"/>
      <c r="GH32" s="253"/>
      <c r="GI32" s="253"/>
      <c r="GJ32" s="253"/>
      <c r="GK32" s="253"/>
      <c r="GL32" s="253"/>
      <c r="GM32" s="253"/>
      <c r="GN32" s="253"/>
      <c r="GO32" s="253"/>
      <c r="GP32" s="253"/>
      <c r="GQ32" s="253"/>
      <c r="GR32" s="253"/>
      <c r="GS32" s="253"/>
      <c r="GT32" s="253"/>
      <c r="GU32" s="253"/>
      <c r="GV32" s="253"/>
      <c r="GW32" s="253"/>
      <c r="GX32" s="253"/>
      <c r="GY32" s="253"/>
      <c r="GZ32" s="253"/>
      <c r="HA32" s="253"/>
      <c r="HB32" s="253"/>
      <c r="HC32" s="253"/>
      <c r="HD32" s="253"/>
      <c r="HE32" s="253"/>
      <c r="HF32" s="253"/>
      <c r="HG32" s="253"/>
      <c r="HH32" s="253"/>
      <c r="HI32" s="253"/>
      <c r="HJ32" s="253"/>
      <c r="HK32" s="253"/>
      <c r="HL32" s="253"/>
      <c r="HM32" s="253"/>
      <c r="HN32" s="253"/>
      <c r="HO32" s="253"/>
      <c r="HP32" s="253"/>
      <c r="HQ32" s="253"/>
      <c r="HR32" s="253"/>
      <c r="HS32" s="253"/>
      <c r="HT32" s="253"/>
      <c r="HU32" s="253"/>
      <c r="HV32" s="253"/>
      <c r="HW32" s="253"/>
      <c r="HX32" s="253"/>
      <c r="HY32" s="253"/>
      <c r="HZ32" s="253"/>
      <c r="IA32" s="253"/>
      <c r="IB32" s="253"/>
      <c r="IC32" s="253"/>
      <c r="ID32" s="253"/>
      <c r="IE32" s="253"/>
      <c r="IF32" s="253"/>
      <c r="IG32" s="253"/>
      <c r="IH32" s="253"/>
      <c r="II32" s="253"/>
      <c r="IJ32" s="253"/>
      <c r="IK32" s="253"/>
      <c r="IL32" s="253"/>
      <c r="IM32" s="253"/>
      <c r="IN32" s="253"/>
      <c r="IO32" s="253"/>
      <c r="IP32" s="253"/>
      <c r="IQ32" s="253"/>
      <c r="IR32" s="253"/>
      <c r="IS32" s="253"/>
      <c r="IT32" s="253"/>
      <c r="IU32" s="253"/>
      <c r="IV32" s="253"/>
    </row>
    <row r="33" spans="1:256" ht="12.75" customHeight="1">
      <c r="A33" s="337">
        <f t="shared" si="0"/>
        <v>112</v>
      </c>
      <c r="B33" s="339" t="s">
        <v>264</v>
      </c>
      <c r="C33" s="392"/>
      <c r="D33" s="347"/>
      <c r="E33" s="337">
        <f t="shared" si="1"/>
        <v>112</v>
      </c>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3"/>
      <c r="CP33" s="253"/>
      <c r="CQ33" s="253"/>
      <c r="CR33" s="253"/>
      <c r="CS33" s="253"/>
      <c r="CT33" s="253"/>
      <c r="CU33" s="253"/>
      <c r="CV33" s="253"/>
      <c r="CW33" s="253"/>
      <c r="CX33" s="253"/>
      <c r="CY33" s="253"/>
      <c r="CZ33" s="253"/>
      <c r="DA33" s="253"/>
      <c r="DB33" s="253"/>
      <c r="DC33" s="253"/>
      <c r="DD33" s="253"/>
      <c r="DE33" s="253"/>
      <c r="DF33" s="253"/>
      <c r="DG33" s="253"/>
      <c r="DH33" s="253"/>
      <c r="DI33" s="253"/>
      <c r="DJ33" s="253"/>
      <c r="DK33" s="253"/>
      <c r="DL33" s="253"/>
      <c r="DM33" s="253"/>
      <c r="DN33" s="253"/>
      <c r="DO33" s="253"/>
      <c r="DP33" s="253"/>
      <c r="DQ33" s="253"/>
      <c r="DR33" s="253"/>
      <c r="DS33" s="253"/>
      <c r="DT33" s="253"/>
      <c r="DU33" s="253"/>
      <c r="DV33" s="253"/>
      <c r="DW33" s="253"/>
      <c r="DX33" s="253"/>
      <c r="DY33" s="253"/>
      <c r="DZ33" s="253"/>
      <c r="EA33" s="253"/>
      <c r="EB33" s="253"/>
      <c r="EC33" s="253"/>
      <c r="ED33" s="253"/>
      <c r="EE33" s="253"/>
      <c r="EF33" s="253"/>
      <c r="EG33" s="253"/>
      <c r="EH33" s="253"/>
      <c r="EI33" s="253"/>
      <c r="EJ33" s="253"/>
      <c r="EK33" s="253"/>
      <c r="EL33" s="253"/>
      <c r="EM33" s="253"/>
      <c r="EN33" s="253"/>
      <c r="EO33" s="253"/>
      <c r="EP33" s="253"/>
      <c r="EQ33" s="253"/>
      <c r="ER33" s="253"/>
      <c r="ES33" s="253"/>
      <c r="ET33" s="253"/>
      <c r="EU33" s="253"/>
      <c r="EV33" s="253"/>
      <c r="EW33" s="253"/>
      <c r="EX33" s="253"/>
      <c r="EY33" s="253"/>
      <c r="EZ33" s="253"/>
      <c r="FA33" s="253"/>
      <c r="FB33" s="253"/>
      <c r="FC33" s="253"/>
      <c r="FD33" s="253"/>
      <c r="FE33" s="253"/>
      <c r="FF33" s="253"/>
      <c r="FG33" s="253"/>
      <c r="FH33" s="253"/>
      <c r="FI33" s="253"/>
      <c r="FJ33" s="253"/>
      <c r="FK33" s="253"/>
      <c r="FL33" s="253"/>
      <c r="FM33" s="253"/>
      <c r="FN33" s="253"/>
      <c r="FO33" s="253"/>
      <c r="FP33" s="253"/>
      <c r="FQ33" s="253"/>
      <c r="FR33" s="253"/>
      <c r="FS33" s="253"/>
      <c r="FT33" s="253"/>
      <c r="FU33" s="253"/>
      <c r="FV33" s="253"/>
      <c r="FW33" s="253"/>
      <c r="FX33" s="253"/>
      <c r="FY33" s="253"/>
      <c r="FZ33" s="253"/>
      <c r="GA33" s="253"/>
      <c r="GB33" s="253"/>
      <c r="GC33" s="253"/>
      <c r="GD33" s="253"/>
      <c r="GE33" s="253"/>
      <c r="GF33" s="253"/>
      <c r="GG33" s="253"/>
      <c r="GH33" s="253"/>
      <c r="GI33" s="253"/>
      <c r="GJ33" s="253"/>
      <c r="GK33" s="253"/>
      <c r="GL33" s="253"/>
      <c r="GM33" s="253"/>
      <c r="GN33" s="253"/>
      <c r="GO33" s="253"/>
      <c r="GP33" s="253"/>
      <c r="GQ33" s="253"/>
      <c r="GR33" s="253"/>
      <c r="GS33" s="253"/>
      <c r="GT33" s="253"/>
      <c r="GU33" s="253"/>
      <c r="GV33" s="253"/>
      <c r="GW33" s="253"/>
      <c r="GX33" s="253"/>
      <c r="GY33" s="253"/>
      <c r="GZ33" s="253"/>
      <c r="HA33" s="253"/>
      <c r="HB33" s="253"/>
      <c r="HC33" s="253"/>
      <c r="HD33" s="253"/>
      <c r="HE33" s="253"/>
      <c r="HF33" s="253"/>
      <c r="HG33" s="253"/>
      <c r="HH33" s="253"/>
      <c r="HI33" s="253"/>
      <c r="HJ33" s="253"/>
      <c r="HK33" s="253"/>
      <c r="HL33" s="253"/>
      <c r="HM33" s="253"/>
      <c r="HN33" s="253"/>
      <c r="HO33" s="253"/>
      <c r="HP33" s="253"/>
      <c r="HQ33" s="253"/>
      <c r="HR33" s="253"/>
      <c r="HS33" s="253"/>
      <c r="HT33" s="253"/>
      <c r="HU33" s="253"/>
      <c r="HV33" s="253"/>
      <c r="HW33" s="253"/>
      <c r="HX33" s="253"/>
      <c r="HY33" s="253"/>
      <c r="HZ33" s="253"/>
      <c r="IA33" s="253"/>
      <c r="IB33" s="253"/>
      <c r="IC33" s="253"/>
      <c r="ID33" s="253"/>
      <c r="IE33" s="253"/>
      <c r="IF33" s="253"/>
      <c r="IG33" s="253"/>
      <c r="IH33" s="253"/>
      <c r="II33" s="253"/>
      <c r="IJ33" s="253"/>
      <c r="IK33" s="253"/>
      <c r="IL33" s="253"/>
      <c r="IM33" s="253"/>
      <c r="IN33" s="253"/>
      <c r="IO33" s="253"/>
      <c r="IP33" s="253"/>
      <c r="IQ33" s="253"/>
      <c r="IR33" s="253"/>
      <c r="IS33" s="253"/>
      <c r="IT33" s="253"/>
      <c r="IU33" s="253"/>
      <c r="IV33" s="253"/>
    </row>
    <row r="34" spans="1:256" ht="12.75" customHeight="1">
      <c r="A34" s="337">
        <f t="shared" si="0"/>
        <v>113</v>
      </c>
      <c r="B34" s="339" t="s">
        <v>265</v>
      </c>
      <c r="C34" s="392"/>
      <c r="D34" s="347"/>
      <c r="E34" s="337">
        <f t="shared" si="1"/>
        <v>113</v>
      </c>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s="253"/>
      <c r="BT34" s="253"/>
      <c r="BU34" s="253"/>
      <c r="BV34" s="253"/>
      <c r="BW34" s="253"/>
      <c r="BX34" s="253"/>
      <c r="BY34" s="253"/>
      <c r="BZ34" s="253"/>
      <c r="CA34" s="253"/>
      <c r="CB34" s="253"/>
      <c r="CC34" s="253"/>
      <c r="CD34" s="253"/>
      <c r="CE34" s="253"/>
      <c r="CF34" s="253"/>
      <c r="CG34" s="253"/>
      <c r="CH34" s="253"/>
      <c r="CI34" s="253"/>
      <c r="CJ34" s="253"/>
      <c r="CK34" s="253"/>
      <c r="CL34" s="253"/>
      <c r="CM34" s="253"/>
      <c r="CN34" s="253"/>
      <c r="CO34" s="253"/>
      <c r="CP34" s="253"/>
      <c r="CQ34" s="253"/>
      <c r="CR34" s="253"/>
      <c r="CS34" s="253"/>
      <c r="CT34" s="253"/>
      <c r="CU34" s="253"/>
      <c r="CV34" s="253"/>
      <c r="CW34" s="253"/>
      <c r="CX34" s="253"/>
      <c r="CY34" s="253"/>
      <c r="CZ34" s="253"/>
      <c r="DA34" s="253"/>
      <c r="DB34" s="253"/>
      <c r="DC34" s="253"/>
      <c r="DD34" s="253"/>
      <c r="DE34" s="253"/>
      <c r="DF34" s="253"/>
      <c r="DG34" s="253"/>
      <c r="DH34" s="253"/>
      <c r="DI34" s="253"/>
      <c r="DJ34" s="253"/>
      <c r="DK34" s="253"/>
      <c r="DL34" s="253"/>
      <c r="DM34" s="253"/>
      <c r="DN34" s="253"/>
      <c r="DO34" s="253"/>
      <c r="DP34" s="253"/>
      <c r="DQ34" s="253"/>
      <c r="DR34" s="253"/>
      <c r="DS34" s="253"/>
      <c r="DT34" s="253"/>
      <c r="DU34" s="253"/>
      <c r="DV34" s="253"/>
      <c r="DW34" s="253"/>
      <c r="DX34" s="253"/>
      <c r="DY34" s="253"/>
      <c r="DZ34" s="253"/>
      <c r="EA34" s="253"/>
      <c r="EB34" s="253"/>
      <c r="EC34" s="253"/>
      <c r="ED34" s="253"/>
      <c r="EE34" s="253"/>
      <c r="EF34" s="253"/>
      <c r="EG34" s="253"/>
      <c r="EH34" s="253"/>
      <c r="EI34" s="253"/>
      <c r="EJ34" s="253"/>
      <c r="EK34" s="253"/>
      <c r="EL34" s="253"/>
      <c r="EM34" s="253"/>
      <c r="EN34" s="253"/>
      <c r="EO34" s="253"/>
      <c r="EP34" s="253"/>
      <c r="EQ34" s="253"/>
      <c r="ER34" s="253"/>
      <c r="ES34" s="253"/>
      <c r="ET34" s="253"/>
      <c r="EU34" s="253"/>
      <c r="EV34" s="253"/>
      <c r="EW34" s="253"/>
      <c r="EX34" s="253"/>
      <c r="EY34" s="253"/>
      <c r="EZ34" s="253"/>
      <c r="FA34" s="253"/>
      <c r="FB34" s="253"/>
      <c r="FC34" s="253"/>
      <c r="FD34" s="253"/>
      <c r="FE34" s="253"/>
      <c r="FF34" s="253"/>
      <c r="FG34" s="253"/>
      <c r="FH34" s="253"/>
      <c r="FI34" s="253"/>
      <c r="FJ34" s="253"/>
      <c r="FK34" s="253"/>
      <c r="FL34" s="253"/>
      <c r="FM34" s="253"/>
      <c r="FN34" s="253"/>
      <c r="FO34" s="253"/>
      <c r="FP34" s="253"/>
      <c r="FQ34" s="253"/>
      <c r="FR34" s="253"/>
      <c r="FS34" s="253"/>
      <c r="FT34" s="253"/>
      <c r="FU34" s="253"/>
      <c r="FV34" s="253"/>
      <c r="FW34" s="253"/>
      <c r="FX34" s="253"/>
      <c r="FY34" s="253"/>
      <c r="FZ34" s="253"/>
      <c r="GA34" s="253"/>
      <c r="GB34" s="253"/>
      <c r="GC34" s="253"/>
      <c r="GD34" s="253"/>
      <c r="GE34" s="253"/>
      <c r="GF34" s="253"/>
      <c r="GG34" s="253"/>
      <c r="GH34" s="253"/>
      <c r="GI34" s="253"/>
      <c r="GJ34" s="253"/>
      <c r="GK34" s="253"/>
      <c r="GL34" s="253"/>
      <c r="GM34" s="253"/>
      <c r="GN34" s="253"/>
      <c r="GO34" s="253"/>
      <c r="GP34" s="253"/>
      <c r="GQ34" s="253"/>
      <c r="GR34" s="253"/>
      <c r="GS34" s="253"/>
      <c r="GT34" s="253"/>
      <c r="GU34" s="253"/>
      <c r="GV34" s="253"/>
      <c r="GW34" s="253"/>
      <c r="GX34" s="253"/>
      <c r="GY34" s="253"/>
      <c r="GZ34" s="253"/>
      <c r="HA34" s="253"/>
      <c r="HB34" s="253"/>
      <c r="HC34" s="253"/>
      <c r="HD34" s="253"/>
      <c r="HE34" s="253"/>
      <c r="HF34" s="253"/>
      <c r="HG34" s="253"/>
      <c r="HH34" s="253"/>
      <c r="HI34" s="253"/>
      <c r="HJ34" s="253"/>
      <c r="HK34" s="253"/>
      <c r="HL34" s="253"/>
      <c r="HM34" s="253"/>
      <c r="HN34" s="253"/>
      <c r="HO34" s="253"/>
      <c r="HP34" s="253"/>
      <c r="HQ34" s="253"/>
      <c r="HR34" s="253"/>
      <c r="HS34" s="253"/>
      <c r="HT34" s="253"/>
      <c r="HU34" s="253"/>
      <c r="HV34" s="253"/>
      <c r="HW34" s="253"/>
      <c r="HX34" s="253"/>
      <c r="HY34" s="253"/>
      <c r="HZ34" s="253"/>
      <c r="IA34" s="253"/>
      <c r="IB34" s="253"/>
      <c r="IC34" s="253"/>
      <c r="ID34" s="253"/>
      <c r="IE34" s="253"/>
      <c r="IF34" s="253"/>
      <c r="IG34" s="253"/>
      <c r="IH34" s="253"/>
      <c r="II34" s="253"/>
      <c r="IJ34" s="253"/>
      <c r="IK34" s="253"/>
      <c r="IL34" s="253"/>
      <c r="IM34" s="253"/>
      <c r="IN34" s="253"/>
      <c r="IO34" s="253"/>
      <c r="IP34" s="253"/>
      <c r="IQ34" s="253"/>
      <c r="IR34" s="253"/>
      <c r="IS34" s="253"/>
      <c r="IT34" s="253"/>
      <c r="IU34" s="253"/>
      <c r="IV34" s="253"/>
    </row>
    <row r="35" spans="1:256" ht="12.75" customHeight="1">
      <c r="A35" s="337">
        <f t="shared" si="0"/>
        <v>114</v>
      </c>
      <c r="B35" s="339" t="s">
        <v>266</v>
      </c>
      <c r="C35" s="392"/>
      <c r="D35" s="347"/>
      <c r="E35" s="337">
        <f t="shared" si="1"/>
        <v>114</v>
      </c>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c r="DV35" s="253"/>
      <c r="DW35" s="253"/>
      <c r="DX35" s="253"/>
      <c r="DY35" s="253"/>
      <c r="DZ35" s="253"/>
      <c r="EA35" s="253"/>
      <c r="EB35" s="253"/>
      <c r="EC35" s="253"/>
      <c r="ED35" s="253"/>
      <c r="EE35" s="253"/>
      <c r="EF35" s="253"/>
      <c r="EG35" s="253"/>
      <c r="EH35" s="253"/>
      <c r="EI35" s="253"/>
      <c r="EJ35" s="253"/>
      <c r="EK35" s="253"/>
      <c r="EL35" s="253"/>
      <c r="EM35" s="253"/>
      <c r="EN35" s="253"/>
      <c r="EO35" s="253"/>
      <c r="EP35" s="253"/>
      <c r="EQ35" s="253"/>
      <c r="ER35" s="253"/>
      <c r="ES35" s="253"/>
      <c r="ET35" s="253"/>
      <c r="EU35" s="253"/>
      <c r="EV35" s="253"/>
      <c r="EW35" s="253"/>
      <c r="EX35" s="253"/>
      <c r="EY35" s="253"/>
      <c r="EZ35" s="253"/>
      <c r="FA35" s="253"/>
      <c r="FB35" s="253"/>
      <c r="FC35" s="253"/>
      <c r="FD35" s="253"/>
      <c r="FE35" s="253"/>
      <c r="FF35" s="253"/>
      <c r="FG35" s="253"/>
      <c r="FH35" s="253"/>
      <c r="FI35" s="253"/>
      <c r="FJ35" s="253"/>
      <c r="FK35" s="253"/>
      <c r="FL35" s="253"/>
      <c r="FM35" s="253"/>
      <c r="FN35" s="253"/>
      <c r="FO35" s="253"/>
      <c r="FP35" s="253"/>
      <c r="FQ35" s="253"/>
      <c r="FR35" s="253"/>
      <c r="FS35" s="253"/>
      <c r="FT35" s="253"/>
      <c r="FU35" s="253"/>
      <c r="FV35" s="253"/>
      <c r="FW35" s="253"/>
      <c r="FX35" s="253"/>
      <c r="FY35" s="253"/>
      <c r="FZ35" s="253"/>
      <c r="GA35" s="253"/>
      <c r="GB35" s="253"/>
      <c r="GC35" s="253"/>
      <c r="GD35" s="253"/>
      <c r="GE35" s="253"/>
      <c r="GF35" s="253"/>
      <c r="GG35" s="253"/>
      <c r="GH35" s="253"/>
      <c r="GI35" s="253"/>
      <c r="GJ35" s="253"/>
      <c r="GK35" s="253"/>
      <c r="GL35" s="253"/>
      <c r="GM35" s="253"/>
      <c r="GN35" s="253"/>
      <c r="GO35" s="253"/>
      <c r="GP35" s="253"/>
      <c r="GQ35" s="253"/>
      <c r="GR35" s="253"/>
      <c r="GS35" s="253"/>
      <c r="GT35" s="253"/>
      <c r="GU35" s="253"/>
      <c r="GV35" s="253"/>
      <c r="GW35" s="253"/>
      <c r="GX35" s="253"/>
      <c r="GY35" s="253"/>
      <c r="GZ35" s="253"/>
      <c r="HA35" s="253"/>
      <c r="HB35" s="253"/>
      <c r="HC35" s="253"/>
      <c r="HD35" s="253"/>
      <c r="HE35" s="253"/>
      <c r="HF35" s="253"/>
      <c r="HG35" s="253"/>
      <c r="HH35" s="253"/>
      <c r="HI35" s="253"/>
      <c r="HJ35" s="253"/>
      <c r="HK35" s="253"/>
      <c r="HL35" s="253"/>
      <c r="HM35" s="253"/>
      <c r="HN35" s="253"/>
      <c r="HO35" s="253"/>
      <c r="HP35" s="253"/>
      <c r="HQ35" s="253"/>
      <c r="HR35" s="253"/>
      <c r="HS35" s="253"/>
      <c r="HT35" s="253"/>
      <c r="HU35" s="253"/>
      <c r="HV35" s="253"/>
      <c r="HW35" s="253"/>
      <c r="HX35" s="253"/>
      <c r="HY35" s="253"/>
      <c r="HZ35" s="253"/>
      <c r="IA35" s="253"/>
      <c r="IB35" s="253"/>
      <c r="IC35" s="253"/>
      <c r="ID35" s="253"/>
      <c r="IE35" s="253"/>
      <c r="IF35" s="253"/>
      <c r="IG35" s="253"/>
      <c r="IH35" s="253"/>
      <c r="II35" s="253"/>
      <c r="IJ35" s="253"/>
      <c r="IK35" s="253"/>
      <c r="IL35" s="253"/>
      <c r="IM35" s="253"/>
      <c r="IN35" s="253"/>
      <c r="IO35" s="253"/>
      <c r="IP35" s="253"/>
      <c r="IQ35" s="253"/>
      <c r="IR35" s="253"/>
      <c r="IS35" s="253"/>
      <c r="IT35" s="253"/>
      <c r="IU35" s="253"/>
      <c r="IV35" s="253"/>
    </row>
    <row r="36" spans="1:256" ht="12.75" customHeight="1">
      <c r="A36" s="337">
        <f t="shared" si="0"/>
        <v>115</v>
      </c>
      <c r="B36" s="339" t="s">
        <v>191</v>
      </c>
      <c r="C36" s="392"/>
      <c r="D36" s="347"/>
      <c r="E36" s="337">
        <f t="shared" si="1"/>
        <v>115</v>
      </c>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E36" s="253"/>
      <c r="DF36" s="253"/>
      <c r="DG36" s="253"/>
      <c r="DH36" s="253"/>
      <c r="DI36" s="253"/>
      <c r="DJ36" s="253"/>
      <c r="DK36" s="253"/>
      <c r="DL36" s="253"/>
      <c r="DM36" s="253"/>
      <c r="DN36" s="253"/>
      <c r="DO36" s="253"/>
      <c r="DP36" s="253"/>
      <c r="DQ36" s="253"/>
      <c r="DR36" s="253"/>
      <c r="DS36" s="253"/>
      <c r="DT36" s="253"/>
      <c r="DU36" s="253"/>
      <c r="DV36" s="253"/>
      <c r="DW36" s="253"/>
      <c r="DX36" s="253"/>
      <c r="DY36" s="253"/>
      <c r="DZ36" s="253"/>
      <c r="EA36" s="253"/>
      <c r="EB36" s="253"/>
      <c r="EC36" s="253"/>
      <c r="ED36" s="253"/>
      <c r="EE36" s="253"/>
      <c r="EF36" s="253"/>
      <c r="EG36" s="253"/>
      <c r="EH36" s="253"/>
      <c r="EI36" s="253"/>
      <c r="EJ36" s="253"/>
      <c r="EK36" s="253"/>
      <c r="EL36" s="253"/>
      <c r="EM36" s="253"/>
      <c r="EN36" s="253"/>
      <c r="EO36" s="253"/>
      <c r="EP36" s="253"/>
      <c r="EQ36" s="253"/>
      <c r="ER36" s="253"/>
      <c r="ES36" s="253"/>
      <c r="ET36" s="253"/>
      <c r="EU36" s="253"/>
      <c r="EV36" s="253"/>
      <c r="EW36" s="253"/>
      <c r="EX36" s="253"/>
      <c r="EY36" s="253"/>
      <c r="EZ36" s="253"/>
      <c r="FA36" s="253"/>
      <c r="FB36" s="253"/>
      <c r="FC36" s="253"/>
      <c r="FD36" s="253"/>
      <c r="FE36" s="253"/>
      <c r="FF36" s="253"/>
      <c r="FG36" s="253"/>
      <c r="FH36" s="253"/>
      <c r="FI36" s="253"/>
      <c r="FJ36" s="253"/>
      <c r="FK36" s="253"/>
      <c r="FL36" s="253"/>
      <c r="FM36" s="253"/>
      <c r="FN36" s="253"/>
      <c r="FO36" s="253"/>
      <c r="FP36" s="253"/>
      <c r="FQ36" s="253"/>
      <c r="FR36" s="253"/>
      <c r="FS36" s="253"/>
      <c r="FT36" s="253"/>
      <c r="FU36" s="253"/>
      <c r="FV36" s="253"/>
      <c r="FW36" s="253"/>
      <c r="FX36" s="253"/>
      <c r="FY36" s="253"/>
      <c r="FZ36" s="253"/>
      <c r="GA36" s="253"/>
      <c r="GB36" s="253"/>
      <c r="GC36" s="253"/>
      <c r="GD36" s="253"/>
      <c r="GE36" s="253"/>
      <c r="GF36" s="253"/>
      <c r="GG36" s="253"/>
      <c r="GH36" s="253"/>
      <c r="GI36" s="253"/>
      <c r="GJ36" s="253"/>
      <c r="GK36" s="253"/>
      <c r="GL36" s="253"/>
      <c r="GM36" s="253"/>
      <c r="GN36" s="253"/>
      <c r="GO36" s="253"/>
      <c r="GP36" s="253"/>
      <c r="GQ36" s="253"/>
      <c r="GR36" s="253"/>
      <c r="GS36" s="253"/>
      <c r="GT36" s="253"/>
      <c r="GU36" s="253"/>
      <c r="GV36" s="253"/>
      <c r="GW36" s="253"/>
      <c r="GX36" s="253"/>
      <c r="GY36" s="253"/>
      <c r="GZ36" s="253"/>
      <c r="HA36" s="253"/>
      <c r="HB36" s="253"/>
      <c r="HC36" s="253"/>
      <c r="HD36" s="253"/>
      <c r="HE36" s="253"/>
      <c r="HF36" s="253"/>
      <c r="HG36" s="253"/>
      <c r="HH36" s="253"/>
      <c r="HI36" s="253"/>
      <c r="HJ36" s="253"/>
      <c r="HK36" s="253"/>
      <c r="HL36" s="253"/>
      <c r="HM36" s="253"/>
      <c r="HN36" s="253"/>
      <c r="HO36" s="253"/>
      <c r="HP36" s="253"/>
      <c r="HQ36" s="253"/>
      <c r="HR36" s="253"/>
      <c r="HS36" s="253"/>
      <c r="HT36" s="253"/>
      <c r="HU36" s="253"/>
      <c r="HV36" s="253"/>
      <c r="HW36" s="253"/>
      <c r="HX36" s="253"/>
      <c r="HY36" s="253"/>
      <c r="HZ36" s="253"/>
      <c r="IA36" s="253"/>
      <c r="IB36" s="253"/>
      <c r="IC36" s="253"/>
      <c r="ID36" s="253"/>
      <c r="IE36" s="253"/>
      <c r="IF36" s="253"/>
      <c r="IG36" s="253"/>
      <c r="IH36" s="253"/>
      <c r="II36" s="253"/>
      <c r="IJ36" s="253"/>
      <c r="IK36" s="253"/>
      <c r="IL36" s="253"/>
      <c r="IM36" s="253"/>
      <c r="IN36" s="253"/>
      <c r="IO36" s="253"/>
      <c r="IP36" s="253"/>
      <c r="IQ36" s="253"/>
      <c r="IR36" s="253"/>
      <c r="IS36" s="253"/>
      <c r="IT36" s="253"/>
      <c r="IU36" s="253"/>
      <c r="IV36" s="253"/>
    </row>
    <row r="37" spans="1:256" ht="12.75" customHeight="1">
      <c r="A37" s="337">
        <v>116</v>
      </c>
      <c r="B37" s="339" t="s">
        <v>267</v>
      </c>
      <c r="C37" s="392"/>
      <c r="D37" s="420"/>
      <c r="E37" s="337">
        <v>116</v>
      </c>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53"/>
      <c r="CM37" s="253"/>
      <c r="CN37" s="253"/>
      <c r="CO37" s="253"/>
      <c r="CP37" s="253"/>
      <c r="CQ37" s="253"/>
      <c r="CR37" s="253"/>
      <c r="CS37" s="253"/>
      <c r="CT37" s="253"/>
      <c r="CU37" s="253"/>
      <c r="CV37" s="253"/>
      <c r="CW37" s="253"/>
      <c r="CX37" s="253"/>
      <c r="CY37" s="253"/>
      <c r="CZ37" s="253"/>
      <c r="DA37" s="253"/>
      <c r="DB37" s="253"/>
      <c r="DC37" s="253"/>
      <c r="DD37" s="253"/>
      <c r="DE37" s="253"/>
      <c r="DF37" s="253"/>
      <c r="DG37" s="253"/>
      <c r="DH37" s="253"/>
      <c r="DI37" s="253"/>
      <c r="DJ37" s="253"/>
      <c r="DK37" s="253"/>
      <c r="DL37" s="253"/>
      <c r="DM37" s="253"/>
      <c r="DN37" s="253"/>
      <c r="DO37" s="253"/>
      <c r="DP37" s="253"/>
      <c r="DQ37" s="253"/>
      <c r="DR37" s="253"/>
      <c r="DS37" s="253"/>
      <c r="DT37" s="253"/>
      <c r="DU37" s="253"/>
      <c r="DV37" s="253"/>
      <c r="DW37" s="253"/>
      <c r="DX37" s="253"/>
      <c r="DY37" s="253"/>
      <c r="DZ37" s="253"/>
      <c r="EA37" s="253"/>
      <c r="EB37" s="253"/>
      <c r="EC37" s="253"/>
      <c r="ED37" s="253"/>
      <c r="EE37" s="253"/>
      <c r="EF37" s="253"/>
      <c r="EG37" s="253"/>
      <c r="EH37" s="253"/>
      <c r="EI37" s="253"/>
      <c r="EJ37" s="253"/>
      <c r="EK37" s="253"/>
      <c r="EL37" s="253"/>
      <c r="EM37" s="253"/>
      <c r="EN37" s="253"/>
      <c r="EO37" s="253"/>
      <c r="EP37" s="253"/>
      <c r="EQ37" s="253"/>
      <c r="ER37" s="253"/>
      <c r="ES37" s="253"/>
      <c r="ET37" s="253"/>
      <c r="EU37" s="253"/>
      <c r="EV37" s="253"/>
      <c r="EW37" s="253"/>
      <c r="EX37" s="253"/>
      <c r="EY37" s="253"/>
      <c r="EZ37" s="253"/>
      <c r="FA37" s="253"/>
      <c r="FB37" s="253"/>
      <c r="FC37" s="253"/>
      <c r="FD37" s="253"/>
      <c r="FE37" s="253"/>
      <c r="FF37" s="253"/>
      <c r="FG37" s="253"/>
      <c r="FH37" s="253"/>
      <c r="FI37" s="253"/>
      <c r="FJ37" s="253"/>
      <c r="FK37" s="253"/>
      <c r="FL37" s="253"/>
      <c r="FM37" s="253"/>
      <c r="FN37" s="253"/>
      <c r="FO37" s="253"/>
      <c r="FP37" s="253"/>
      <c r="FQ37" s="253"/>
      <c r="FR37" s="253"/>
      <c r="FS37" s="253"/>
      <c r="FT37" s="253"/>
      <c r="FU37" s="253"/>
      <c r="FV37" s="253"/>
      <c r="FW37" s="253"/>
      <c r="FX37" s="253"/>
      <c r="FY37" s="253"/>
      <c r="FZ37" s="253"/>
      <c r="GA37" s="253"/>
      <c r="GB37" s="253"/>
      <c r="GC37" s="253"/>
      <c r="GD37" s="253"/>
      <c r="GE37" s="253"/>
      <c r="GF37" s="253"/>
      <c r="GG37" s="253"/>
      <c r="GH37" s="253"/>
      <c r="GI37" s="253"/>
      <c r="GJ37" s="253"/>
      <c r="GK37" s="253"/>
      <c r="GL37" s="253"/>
      <c r="GM37" s="253"/>
      <c r="GN37" s="253"/>
      <c r="GO37" s="253"/>
      <c r="GP37" s="253"/>
      <c r="GQ37" s="253"/>
      <c r="GR37" s="253"/>
      <c r="GS37" s="253"/>
      <c r="GT37" s="253"/>
      <c r="GU37" s="253"/>
      <c r="GV37" s="253"/>
      <c r="GW37" s="253"/>
      <c r="GX37" s="253"/>
      <c r="GY37" s="253"/>
      <c r="GZ37" s="253"/>
      <c r="HA37" s="253"/>
      <c r="HB37" s="253"/>
      <c r="HC37" s="253"/>
      <c r="HD37" s="253"/>
      <c r="HE37" s="253"/>
      <c r="HF37" s="253"/>
      <c r="HG37" s="253"/>
      <c r="HH37" s="253"/>
      <c r="HI37" s="253"/>
      <c r="HJ37" s="253"/>
      <c r="HK37" s="253"/>
      <c r="HL37" s="253"/>
      <c r="HM37" s="253"/>
      <c r="HN37" s="253"/>
      <c r="HO37" s="253"/>
      <c r="HP37" s="253"/>
      <c r="HQ37" s="253"/>
      <c r="HR37" s="253"/>
      <c r="HS37" s="253"/>
      <c r="HT37" s="253"/>
      <c r="HU37" s="253"/>
      <c r="HV37" s="253"/>
      <c r="HW37" s="253"/>
      <c r="HX37" s="253"/>
      <c r="HY37" s="253"/>
      <c r="HZ37" s="253"/>
      <c r="IA37" s="253"/>
      <c r="IB37" s="253"/>
      <c r="IC37" s="253"/>
      <c r="ID37" s="253"/>
      <c r="IE37" s="253"/>
      <c r="IF37" s="253"/>
      <c r="IG37" s="253"/>
      <c r="IH37" s="253"/>
      <c r="II37" s="253"/>
      <c r="IJ37" s="253"/>
      <c r="IK37" s="253"/>
      <c r="IL37" s="253"/>
      <c r="IM37" s="253"/>
      <c r="IN37" s="253"/>
      <c r="IO37" s="253"/>
      <c r="IP37" s="253"/>
      <c r="IQ37" s="253"/>
      <c r="IR37" s="253"/>
      <c r="IS37" s="253"/>
      <c r="IT37" s="253"/>
      <c r="IU37" s="253"/>
      <c r="IV37" s="253"/>
    </row>
    <row r="38" spans="1:256" ht="12.75" customHeight="1">
      <c r="A38" s="337">
        <v>117</v>
      </c>
      <c r="B38" s="339" t="s">
        <v>268</v>
      </c>
      <c r="C38" s="392"/>
      <c r="D38" s="420"/>
      <c r="E38" s="337">
        <v>117</v>
      </c>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253"/>
      <c r="CM38" s="253"/>
      <c r="CN38" s="253"/>
      <c r="CO38" s="253"/>
      <c r="CP38" s="253"/>
      <c r="CQ38" s="253"/>
      <c r="CR38" s="253"/>
      <c r="CS38" s="253"/>
      <c r="CT38" s="253"/>
      <c r="CU38" s="253"/>
      <c r="CV38" s="253"/>
      <c r="CW38" s="253"/>
      <c r="CX38" s="253"/>
      <c r="CY38" s="253"/>
      <c r="CZ38" s="253"/>
      <c r="DA38" s="253"/>
      <c r="DB38" s="253"/>
      <c r="DC38" s="253"/>
      <c r="DD38" s="253"/>
      <c r="DE38" s="253"/>
      <c r="DF38" s="253"/>
      <c r="DG38" s="253"/>
      <c r="DH38" s="253"/>
      <c r="DI38" s="253"/>
      <c r="DJ38" s="253"/>
      <c r="DK38" s="253"/>
      <c r="DL38" s="253"/>
      <c r="DM38" s="253"/>
      <c r="DN38" s="253"/>
      <c r="DO38" s="253"/>
      <c r="DP38" s="253"/>
      <c r="DQ38" s="253"/>
      <c r="DR38" s="253"/>
      <c r="DS38" s="253"/>
      <c r="DT38" s="253"/>
      <c r="DU38" s="253"/>
      <c r="DV38" s="253"/>
      <c r="DW38" s="253"/>
      <c r="DX38" s="253"/>
      <c r="DY38" s="253"/>
      <c r="DZ38" s="253"/>
      <c r="EA38" s="253"/>
      <c r="EB38" s="253"/>
      <c r="EC38" s="253"/>
      <c r="ED38" s="253"/>
      <c r="EE38" s="253"/>
      <c r="EF38" s="253"/>
      <c r="EG38" s="253"/>
      <c r="EH38" s="253"/>
      <c r="EI38" s="253"/>
      <c r="EJ38" s="253"/>
      <c r="EK38" s="253"/>
      <c r="EL38" s="253"/>
      <c r="EM38" s="253"/>
      <c r="EN38" s="253"/>
      <c r="EO38" s="253"/>
      <c r="EP38" s="253"/>
      <c r="EQ38" s="253"/>
      <c r="ER38" s="253"/>
      <c r="ES38" s="253"/>
      <c r="ET38" s="253"/>
      <c r="EU38" s="253"/>
      <c r="EV38" s="253"/>
      <c r="EW38" s="253"/>
      <c r="EX38" s="253"/>
      <c r="EY38" s="253"/>
      <c r="EZ38" s="253"/>
      <c r="FA38" s="253"/>
      <c r="FB38" s="253"/>
      <c r="FC38" s="253"/>
      <c r="FD38" s="253"/>
      <c r="FE38" s="253"/>
      <c r="FF38" s="253"/>
      <c r="FG38" s="253"/>
      <c r="FH38" s="253"/>
      <c r="FI38" s="253"/>
      <c r="FJ38" s="253"/>
      <c r="FK38" s="253"/>
      <c r="FL38" s="253"/>
      <c r="FM38" s="253"/>
      <c r="FN38" s="253"/>
      <c r="FO38" s="253"/>
      <c r="FP38" s="253"/>
      <c r="FQ38" s="253"/>
      <c r="FR38" s="253"/>
      <c r="FS38" s="253"/>
      <c r="FT38" s="253"/>
      <c r="FU38" s="253"/>
      <c r="FV38" s="253"/>
      <c r="FW38" s="253"/>
      <c r="FX38" s="253"/>
      <c r="FY38" s="253"/>
      <c r="FZ38" s="253"/>
      <c r="GA38" s="253"/>
      <c r="GB38" s="253"/>
      <c r="GC38" s="253"/>
      <c r="GD38" s="253"/>
      <c r="GE38" s="253"/>
      <c r="GF38" s="253"/>
      <c r="GG38" s="253"/>
      <c r="GH38" s="253"/>
      <c r="GI38" s="253"/>
      <c r="GJ38" s="253"/>
      <c r="GK38" s="253"/>
      <c r="GL38" s="253"/>
      <c r="GM38" s="253"/>
      <c r="GN38" s="253"/>
      <c r="GO38" s="253"/>
      <c r="GP38" s="253"/>
      <c r="GQ38" s="253"/>
      <c r="GR38" s="253"/>
      <c r="GS38" s="253"/>
      <c r="GT38" s="253"/>
      <c r="GU38" s="253"/>
      <c r="GV38" s="253"/>
      <c r="GW38" s="253"/>
      <c r="GX38" s="253"/>
      <c r="GY38" s="253"/>
      <c r="GZ38" s="253"/>
      <c r="HA38" s="253"/>
      <c r="HB38" s="253"/>
      <c r="HC38" s="253"/>
      <c r="HD38" s="253"/>
      <c r="HE38" s="253"/>
      <c r="HF38" s="253"/>
      <c r="HG38" s="253"/>
      <c r="HH38" s="253"/>
      <c r="HI38" s="253"/>
      <c r="HJ38" s="253"/>
      <c r="HK38" s="253"/>
      <c r="HL38" s="253"/>
      <c r="HM38" s="253"/>
      <c r="HN38" s="253"/>
      <c r="HO38" s="253"/>
      <c r="HP38" s="253"/>
      <c r="HQ38" s="253"/>
      <c r="HR38" s="253"/>
      <c r="HS38" s="253"/>
      <c r="HT38" s="253"/>
      <c r="HU38" s="253"/>
      <c r="HV38" s="253"/>
      <c r="HW38" s="253"/>
      <c r="HX38" s="253"/>
      <c r="HY38" s="253"/>
      <c r="HZ38" s="253"/>
      <c r="IA38" s="253"/>
      <c r="IB38" s="253"/>
      <c r="IC38" s="253"/>
      <c r="ID38" s="253"/>
      <c r="IE38" s="253"/>
      <c r="IF38" s="253"/>
      <c r="IG38" s="253"/>
      <c r="IH38" s="253"/>
      <c r="II38" s="253"/>
      <c r="IJ38" s="253"/>
      <c r="IK38" s="253"/>
      <c r="IL38" s="253"/>
      <c r="IM38" s="253"/>
      <c r="IN38" s="253"/>
      <c r="IO38" s="253"/>
      <c r="IP38" s="253"/>
      <c r="IQ38" s="253"/>
      <c r="IR38" s="253"/>
      <c r="IS38" s="253"/>
      <c r="IT38" s="253"/>
      <c r="IU38" s="253"/>
      <c r="IV38" s="253"/>
    </row>
    <row r="39" spans="1:256" ht="12.75" customHeight="1" thickBot="1">
      <c r="A39" s="337">
        <v>118</v>
      </c>
      <c r="B39" s="393" t="s">
        <v>269</v>
      </c>
      <c r="C39" s="392"/>
      <c r="D39" s="420"/>
      <c r="E39" s="337">
        <v>118</v>
      </c>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3"/>
      <c r="CG39" s="253"/>
      <c r="CH39" s="253"/>
      <c r="CI39" s="253"/>
      <c r="CJ39" s="253"/>
      <c r="CK39" s="253"/>
      <c r="CL39" s="253"/>
      <c r="CM39" s="253"/>
      <c r="CN39" s="253"/>
      <c r="CO39" s="253"/>
      <c r="CP39" s="253"/>
      <c r="CQ39" s="253"/>
      <c r="CR39" s="253"/>
      <c r="CS39" s="253"/>
      <c r="CT39" s="253"/>
      <c r="CU39" s="253"/>
      <c r="CV39" s="253"/>
      <c r="CW39" s="253"/>
      <c r="CX39" s="253"/>
      <c r="CY39" s="253"/>
      <c r="CZ39" s="253"/>
      <c r="DA39" s="253"/>
      <c r="DB39" s="253"/>
      <c r="DC39" s="253"/>
      <c r="DD39" s="253"/>
      <c r="DE39" s="253"/>
      <c r="DF39" s="253"/>
      <c r="DG39" s="253"/>
      <c r="DH39" s="253"/>
      <c r="DI39" s="253"/>
      <c r="DJ39" s="253"/>
      <c r="DK39" s="253"/>
      <c r="DL39" s="253"/>
      <c r="DM39" s="253"/>
      <c r="DN39" s="253"/>
      <c r="DO39" s="253"/>
      <c r="DP39" s="253"/>
      <c r="DQ39" s="253"/>
      <c r="DR39" s="253"/>
      <c r="DS39" s="253"/>
      <c r="DT39" s="253"/>
      <c r="DU39" s="253"/>
      <c r="DV39" s="253"/>
      <c r="DW39" s="253"/>
      <c r="DX39" s="253"/>
      <c r="DY39" s="253"/>
      <c r="DZ39" s="253"/>
      <c r="EA39" s="253"/>
      <c r="EB39" s="253"/>
      <c r="EC39" s="253"/>
      <c r="ED39" s="253"/>
      <c r="EE39" s="253"/>
      <c r="EF39" s="253"/>
      <c r="EG39" s="253"/>
      <c r="EH39" s="253"/>
      <c r="EI39" s="253"/>
      <c r="EJ39" s="253"/>
      <c r="EK39" s="253"/>
      <c r="EL39" s="253"/>
      <c r="EM39" s="253"/>
      <c r="EN39" s="253"/>
      <c r="EO39" s="253"/>
      <c r="EP39" s="253"/>
      <c r="EQ39" s="253"/>
      <c r="ER39" s="253"/>
      <c r="ES39" s="253"/>
      <c r="ET39" s="253"/>
      <c r="EU39" s="253"/>
      <c r="EV39" s="253"/>
      <c r="EW39" s="253"/>
      <c r="EX39" s="253"/>
      <c r="EY39" s="253"/>
      <c r="EZ39" s="253"/>
      <c r="FA39" s="253"/>
      <c r="FB39" s="253"/>
      <c r="FC39" s="253"/>
      <c r="FD39" s="253"/>
      <c r="FE39" s="253"/>
      <c r="FF39" s="253"/>
      <c r="FG39" s="253"/>
      <c r="FH39" s="253"/>
      <c r="FI39" s="253"/>
      <c r="FJ39" s="253"/>
      <c r="FK39" s="253"/>
      <c r="FL39" s="253"/>
      <c r="FM39" s="253"/>
      <c r="FN39" s="253"/>
      <c r="FO39" s="253"/>
      <c r="FP39" s="253"/>
      <c r="FQ39" s="253"/>
      <c r="FR39" s="253"/>
      <c r="FS39" s="253"/>
      <c r="FT39" s="253"/>
      <c r="FU39" s="253"/>
      <c r="FV39" s="253"/>
      <c r="FW39" s="253"/>
      <c r="FX39" s="253"/>
      <c r="FY39" s="253"/>
      <c r="FZ39" s="253"/>
      <c r="GA39" s="253"/>
      <c r="GB39" s="253"/>
      <c r="GC39" s="253"/>
      <c r="GD39" s="253"/>
      <c r="GE39" s="253"/>
      <c r="GF39" s="253"/>
      <c r="GG39" s="253"/>
      <c r="GH39" s="253"/>
      <c r="GI39" s="253"/>
      <c r="GJ39" s="253"/>
      <c r="GK39" s="253"/>
      <c r="GL39" s="253"/>
      <c r="GM39" s="253"/>
      <c r="GN39" s="253"/>
      <c r="GO39" s="253"/>
      <c r="GP39" s="253"/>
      <c r="GQ39" s="253"/>
      <c r="GR39" s="253"/>
      <c r="GS39" s="253"/>
      <c r="GT39" s="253"/>
      <c r="GU39" s="253"/>
      <c r="GV39" s="253"/>
      <c r="GW39" s="253"/>
      <c r="GX39" s="253"/>
      <c r="GY39" s="253"/>
      <c r="GZ39" s="253"/>
      <c r="HA39" s="253"/>
      <c r="HB39" s="253"/>
      <c r="HC39" s="253"/>
      <c r="HD39" s="253"/>
      <c r="HE39" s="253"/>
      <c r="HF39" s="253"/>
      <c r="HG39" s="253"/>
      <c r="HH39" s="253"/>
      <c r="HI39" s="253"/>
      <c r="HJ39" s="253"/>
      <c r="HK39" s="253"/>
      <c r="HL39" s="253"/>
      <c r="HM39" s="253"/>
      <c r="HN39" s="253"/>
      <c r="HO39" s="253"/>
      <c r="HP39" s="253"/>
      <c r="HQ39" s="253"/>
      <c r="HR39" s="253"/>
      <c r="HS39" s="253"/>
      <c r="HT39" s="253"/>
      <c r="HU39" s="253"/>
      <c r="HV39" s="253"/>
      <c r="HW39" s="253"/>
      <c r="HX39" s="253"/>
      <c r="HY39" s="253"/>
      <c r="HZ39" s="253"/>
      <c r="IA39" s="253"/>
      <c r="IB39" s="253"/>
      <c r="IC39" s="253"/>
      <c r="ID39" s="253"/>
      <c r="IE39" s="253"/>
      <c r="IF39" s="253"/>
      <c r="IG39" s="253"/>
      <c r="IH39" s="253"/>
      <c r="II39" s="253"/>
      <c r="IJ39" s="253"/>
      <c r="IK39" s="253"/>
      <c r="IL39" s="253"/>
      <c r="IM39" s="253"/>
      <c r="IN39" s="253"/>
      <c r="IO39" s="253"/>
      <c r="IP39" s="253"/>
      <c r="IQ39" s="253"/>
      <c r="IR39" s="253"/>
      <c r="IS39" s="253"/>
      <c r="IT39" s="253"/>
      <c r="IU39" s="253"/>
      <c r="IV39" s="253"/>
    </row>
    <row r="40" spans="1:256" ht="12.75" customHeight="1">
      <c r="A40" s="337">
        <v>119</v>
      </c>
      <c r="B40" s="394" t="s">
        <v>270</v>
      </c>
      <c r="C40" s="395"/>
      <c r="D40" s="418">
        <f>SUM(D24:D39)</f>
        <v>772016.1099999999</v>
      </c>
      <c r="E40" s="337">
        <v>119</v>
      </c>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3"/>
      <c r="CC40" s="253"/>
      <c r="CD40" s="253"/>
      <c r="CE40" s="253"/>
      <c r="CF40" s="253"/>
      <c r="CG40" s="253"/>
      <c r="CH40" s="253"/>
      <c r="CI40" s="253"/>
      <c r="CJ40" s="253"/>
      <c r="CK40" s="253"/>
      <c r="CL40" s="253"/>
      <c r="CM40" s="253"/>
      <c r="CN40" s="253"/>
      <c r="CO40" s="253"/>
      <c r="CP40" s="253"/>
      <c r="CQ40" s="253"/>
      <c r="CR40" s="253"/>
      <c r="CS40" s="253"/>
      <c r="CT40" s="253"/>
      <c r="CU40" s="253"/>
      <c r="CV40" s="253"/>
      <c r="CW40" s="253"/>
      <c r="CX40" s="253"/>
      <c r="CY40" s="253"/>
      <c r="CZ40" s="253"/>
      <c r="DA40" s="253"/>
      <c r="DB40" s="253"/>
      <c r="DC40" s="253"/>
      <c r="DD40" s="253"/>
      <c r="DE40" s="253"/>
      <c r="DF40" s="253"/>
      <c r="DG40" s="253"/>
      <c r="DH40" s="253"/>
      <c r="DI40" s="253"/>
      <c r="DJ40" s="253"/>
      <c r="DK40" s="253"/>
      <c r="DL40" s="253"/>
      <c r="DM40" s="253"/>
      <c r="DN40" s="253"/>
      <c r="DO40" s="253"/>
      <c r="DP40" s="253"/>
      <c r="DQ40" s="253"/>
      <c r="DR40" s="253"/>
      <c r="DS40" s="253"/>
      <c r="DT40" s="253"/>
      <c r="DU40" s="253"/>
      <c r="DV40" s="253"/>
      <c r="DW40" s="253"/>
      <c r="DX40" s="253"/>
      <c r="DY40" s="253"/>
      <c r="DZ40" s="253"/>
      <c r="EA40" s="253"/>
      <c r="EB40" s="253"/>
      <c r="EC40" s="253"/>
      <c r="ED40" s="253"/>
      <c r="EE40" s="253"/>
      <c r="EF40" s="253"/>
      <c r="EG40" s="253"/>
      <c r="EH40" s="253"/>
      <c r="EI40" s="253"/>
      <c r="EJ40" s="253"/>
      <c r="EK40" s="253"/>
      <c r="EL40" s="253"/>
      <c r="EM40" s="253"/>
      <c r="EN40" s="253"/>
      <c r="EO40" s="253"/>
      <c r="EP40" s="253"/>
      <c r="EQ40" s="253"/>
      <c r="ER40" s="253"/>
      <c r="ES40" s="253"/>
      <c r="ET40" s="253"/>
      <c r="EU40" s="253"/>
      <c r="EV40" s="253"/>
      <c r="EW40" s="253"/>
      <c r="EX40" s="253"/>
      <c r="EY40" s="253"/>
      <c r="EZ40" s="253"/>
      <c r="FA40" s="253"/>
      <c r="FB40" s="253"/>
      <c r="FC40" s="253"/>
      <c r="FD40" s="253"/>
      <c r="FE40" s="253"/>
      <c r="FF40" s="253"/>
      <c r="FG40" s="253"/>
      <c r="FH40" s="253"/>
      <c r="FI40" s="253"/>
      <c r="FJ40" s="253"/>
      <c r="FK40" s="253"/>
      <c r="FL40" s="253"/>
      <c r="FM40" s="253"/>
      <c r="FN40" s="253"/>
      <c r="FO40" s="253"/>
      <c r="FP40" s="253"/>
      <c r="FQ40" s="253"/>
      <c r="FR40" s="253"/>
      <c r="FS40" s="253"/>
      <c r="FT40" s="253"/>
      <c r="FU40" s="253"/>
      <c r="FV40" s="253"/>
      <c r="FW40" s="253"/>
      <c r="FX40" s="253"/>
      <c r="FY40" s="253"/>
      <c r="FZ40" s="253"/>
      <c r="GA40" s="253"/>
      <c r="GB40" s="253"/>
      <c r="GC40" s="253"/>
      <c r="GD40" s="253"/>
      <c r="GE40" s="253"/>
      <c r="GF40" s="253"/>
      <c r="GG40" s="253"/>
      <c r="GH40" s="253"/>
      <c r="GI40" s="253"/>
      <c r="GJ40" s="253"/>
      <c r="GK40" s="253"/>
      <c r="GL40" s="253"/>
      <c r="GM40" s="253"/>
      <c r="GN40" s="253"/>
      <c r="GO40" s="253"/>
      <c r="GP40" s="253"/>
      <c r="GQ40" s="253"/>
      <c r="GR40" s="253"/>
      <c r="GS40" s="253"/>
      <c r="GT40" s="253"/>
      <c r="GU40" s="253"/>
      <c r="GV40" s="253"/>
      <c r="GW40" s="253"/>
      <c r="GX40" s="253"/>
      <c r="GY40" s="253"/>
      <c r="GZ40" s="253"/>
      <c r="HA40" s="253"/>
      <c r="HB40" s="253"/>
      <c r="HC40" s="253"/>
      <c r="HD40" s="253"/>
      <c r="HE40" s="253"/>
      <c r="HF40" s="253"/>
      <c r="HG40" s="253"/>
      <c r="HH40" s="253"/>
      <c r="HI40" s="253"/>
      <c r="HJ40" s="253"/>
      <c r="HK40" s="253"/>
      <c r="HL40" s="253"/>
      <c r="HM40" s="253"/>
      <c r="HN40" s="253"/>
      <c r="HO40" s="253"/>
      <c r="HP40" s="253"/>
      <c r="HQ40" s="253"/>
      <c r="HR40" s="253"/>
      <c r="HS40" s="253"/>
      <c r="HT40" s="253"/>
      <c r="HU40" s="253"/>
      <c r="HV40" s="253"/>
      <c r="HW40" s="253"/>
      <c r="HX40" s="253"/>
      <c r="HY40" s="253"/>
      <c r="HZ40" s="253"/>
      <c r="IA40" s="253"/>
      <c r="IB40" s="253"/>
      <c r="IC40" s="253"/>
      <c r="ID40" s="253"/>
      <c r="IE40" s="253"/>
      <c r="IF40" s="253"/>
      <c r="IG40" s="253"/>
      <c r="IH40" s="253"/>
      <c r="II40" s="253"/>
      <c r="IJ40" s="253"/>
      <c r="IK40" s="253"/>
      <c r="IL40" s="253"/>
      <c r="IM40" s="253"/>
      <c r="IN40" s="253"/>
      <c r="IO40" s="253"/>
      <c r="IP40" s="253"/>
      <c r="IQ40" s="253"/>
      <c r="IR40" s="253"/>
      <c r="IS40" s="253"/>
      <c r="IT40" s="253"/>
      <c r="IU40" s="253"/>
      <c r="IV40" s="253"/>
    </row>
    <row r="41" spans="1:256" ht="12" customHeight="1">
      <c r="A41" s="350" t="s">
        <v>439</v>
      </c>
      <c r="B41" s="396" t="s">
        <v>271</v>
      </c>
      <c r="C41" s="397"/>
      <c r="D41" s="539"/>
      <c r="E41" s="350" t="s">
        <v>439</v>
      </c>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3"/>
      <c r="CP41" s="253"/>
      <c r="CQ41" s="253"/>
      <c r="CR41" s="253"/>
      <c r="CS41" s="253"/>
      <c r="CT41" s="253"/>
      <c r="CU41" s="253"/>
      <c r="CV41" s="253"/>
      <c r="CW41" s="253"/>
      <c r="CX41" s="253"/>
      <c r="CY41" s="253"/>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3"/>
      <c r="DZ41" s="253"/>
      <c r="EA41" s="253"/>
      <c r="EB41" s="253"/>
      <c r="EC41" s="253"/>
      <c r="ED41" s="253"/>
      <c r="EE41" s="253"/>
      <c r="EF41" s="253"/>
      <c r="EG41" s="253"/>
      <c r="EH41" s="253"/>
      <c r="EI41" s="253"/>
      <c r="EJ41" s="253"/>
      <c r="EK41" s="253"/>
      <c r="EL41" s="253"/>
      <c r="EM41" s="253"/>
      <c r="EN41" s="253"/>
      <c r="EO41" s="253"/>
      <c r="EP41" s="253"/>
      <c r="EQ41" s="253"/>
      <c r="ER41" s="253"/>
      <c r="ES41" s="253"/>
      <c r="ET41" s="253"/>
      <c r="EU41" s="253"/>
      <c r="EV41" s="253"/>
      <c r="EW41" s="253"/>
      <c r="EX41" s="253"/>
      <c r="EY41" s="253"/>
      <c r="EZ41" s="253"/>
      <c r="FA41" s="253"/>
      <c r="FB41" s="253"/>
      <c r="FC41" s="253"/>
      <c r="FD41" s="253"/>
      <c r="FE41" s="253"/>
      <c r="FF41" s="253"/>
      <c r="FG41" s="253"/>
      <c r="FH41" s="253"/>
      <c r="FI41" s="253"/>
      <c r="FJ41" s="253"/>
      <c r="FK41" s="253"/>
      <c r="FL41" s="253"/>
      <c r="FM41" s="253"/>
      <c r="FN41" s="253"/>
      <c r="FO41" s="253"/>
      <c r="FP41" s="253"/>
      <c r="FQ41" s="253"/>
      <c r="FR41" s="253"/>
      <c r="FS41" s="253"/>
      <c r="FT41" s="253"/>
      <c r="FU41" s="253"/>
      <c r="FV41" s="253"/>
      <c r="FW41" s="253"/>
      <c r="FX41" s="253"/>
      <c r="FY41" s="253"/>
      <c r="FZ41" s="253"/>
      <c r="GA41" s="253"/>
      <c r="GB41" s="253"/>
      <c r="GC41" s="253"/>
      <c r="GD41" s="253"/>
      <c r="GE41" s="253"/>
      <c r="GF41" s="253"/>
      <c r="GG41" s="253"/>
      <c r="GH41" s="253"/>
      <c r="GI41" s="253"/>
      <c r="GJ41" s="253"/>
      <c r="GK41" s="253"/>
      <c r="GL41" s="253"/>
      <c r="GM41" s="253"/>
      <c r="GN41" s="253"/>
      <c r="GO41" s="253"/>
      <c r="GP41" s="253"/>
      <c r="GQ41" s="253"/>
      <c r="GR41" s="253"/>
      <c r="GS41" s="253"/>
      <c r="GT41" s="253"/>
      <c r="GU41" s="253"/>
      <c r="GV41" s="253"/>
      <c r="GW41" s="253"/>
      <c r="GX41" s="253"/>
      <c r="GY41" s="253"/>
      <c r="GZ41" s="253"/>
      <c r="HA41" s="253"/>
      <c r="HB41" s="253"/>
      <c r="HC41" s="253"/>
      <c r="HD41" s="253"/>
      <c r="HE41" s="253"/>
      <c r="HF41" s="253"/>
      <c r="HG41" s="253"/>
      <c r="HH41" s="253"/>
      <c r="HI41" s="253"/>
      <c r="HJ41" s="253"/>
      <c r="HK41" s="253"/>
      <c r="HL41" s="253"/>
      <c r="HM41" s="253"/>
      <c r="HN41" s="253"/>
      <c r="HO41" s="253"/>
      <c r="HP41" s="253"/>
      <c r="HQ41" s="253"/>
      <c r="HR41" s="253"/>
      <c r="HS41" s="253"/>
      <c r="HT41" s="253"/>
      <c r="HU41" s="253"/>
      <c r="HV41" s="253"/>
      <c r="HW41" s="253"/>
      <c r="HX41" s="253"/>
      <c r="HY41" s="253"/>
      <c r="HZ41" s="253"/>
      <c r="IA41" s="253"/>
      <c r="IB41" s="253"/>
      <c r="IC41" s="253"/>
      <c r="ID41" s="253"/>
      <c r="IE41" s="253"/>
      <c r="IF41" s="253"/>
      <c r="IG41" s="253"/>
      <c r="IH41" s="253"/>
      <c r="II41" s="253"/>
      <c r="IJ41" s="253"/>
      <c r="IK41" s="253"/>
      <c r="IL41" s="253"/>
      <c r="IM41" s="253"/>
      <c r="IN41" s="253"/>
      <c r="IO41" s="253"/>
      <c r="IP41" s="253"/>
      <c r="IQ41" s="253"/>
      <c r="IR41" s="253"/>
      <c r="IS41" s="253"/>
      <c r="IT41" s="253"/>
      <c r="IU41" s="253"/>
      <c r="IV41" s="253"/>
    </row>
    <row r="42" spans="1:256" ht="12" customHeight="1">
      <c r="A42" s="350" t="s">
        <v>439</v>
      </c>
      <c r="B42" s="358" t="s">
        <v>272</v>
      </c>
      <c r="C42" s="398"/>
      <c r="D42" s="541"/>
      <c r="E42" s="350" t="s">
        <v>439</v>
      </c>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c r="DV42" s="253"/>
      <c r="DW42" s="253"/>
      <c r="DX42" s="253"/>
      <c r="DY42" s="253"/>
      <c r="DZ42" s="253"/>
      <c r="EA42" s="253"/>
      <c r="EB42" s="253"/>
      <c r="EC42" s="253"/>
      <c r="ED42" s="253"/>
      <c r="EE42" s="253"/>
      <c r="EF42" s="253"/>
      <c r="EG42" s="253"/>
      <c r="EH42" s="253"/>
      <c r="EI42" s="253"/>
      <c r="EJ42" s="253"/>
      <c r="EK42" s="253"/>
      <c r="EL42" s="253"/>
      <c r="EM42" s="253"/>
      <c r="EN42" s="253"/>
      <c r="EO42" s="253"/>
      <c r="EP42" s="253"/>
      <c r="EQ42" s="253"/>
      <c r="ER42" s="253"/>
      <c r="ES42" s="253"/>
      <c r="ET42" s="253"/>
      <c r="EU42" s="253"/>
      <c r="EV42" s="253"/>
      <c r="EW42" s="253"/>
      <c r="EX42" s="253"/>
      <c r="EY42" s="253"/>
      <c r="EZ42" s="253"/>
      <c r="FA42" s="253"/>
      <c r="FB42" s="253"/>
      <c r="FC42" s="253"/>
      <c r="FD42" s="253"/>
      <c r="FE42" s="253"/>
      <c r="FF42" s="253"/>
      <c r="FG42" s="253"/>
      <c r="FH42" s="253"/>
      <c r="FI42" s="253"/>
      <c r="FJ42" s="253"/>
      <c r="FK42" s="253"/>
      <c r="FL42" s="253"/>
      <c r="FM42" s="253"/>
      <c r="FN42" s="253"/>
      <c r="FO42" s="253"/>
      <c r="FP42" s="253"/>
      <c r="FQ42" s="253"/>
      <c r="FR42" s="253"/>
      <c r="FS42" s="253"/>
      <c r="FT42" s="253"/>
      <c r="FU42" s="253"/>
      <c r="FV42" s="253"/>
      <c r="FW42" s="253"/>
      <c r="FX42" s="253"/>
      <c r="FY42" s="253"/>
      <c r="FZ42" s="253"/>
      <c r="GA42" s="253"/>
      <c r="GB42" s="253"/>
      <c r="GC42" s="253"/>
      <c r="GD42" s="253"/>
      <c r="GE42" s="253"/>
      <c r="GF42" s="253"/>
      <c r="GG42" s="253"/>
      <c r="GH42" s="253"/>
      <c r="GI42" s="253"/>
      <c r="GJ42" s="253"/>
      <c r="GK42" s="253"/>
      <c r="GL42" s="253"/>
      <c r="GM42" s="253"/>
      <c r="GN42" s="253"/>
      <c r="GO42" s="253"/>
      <c r="GP42" s="253"/>
      <c r="GQ42" s="253"/>
      <c r="GR42" s="253"/>
      <c r="GS42" s="253"/>
      <c r="GT42" s="253"/>
      <c r="GU42" s="253"/>
      <c r="GV42" s="253"/>
      <c r="GW42" s="253"/>
      <c r="GX42" s="253"/>
      <c r="GY42" s="253"/>
      <c r="GZ42" s="253"/>
      <c r="HA42" s="253"/>
      <c r="HB42" s="253"/>
      <c r="HC42" s="253"/>
      <c r="HD42" s="253"/>
      <c r="HE42" s="253"/>
      <c r="HF42" s="253"/>
      <c r="HG42" s="253"/>
      <c r="HH42" s="253"/>
      <c r="HI42" s="253"/>
      <c r="HJ42" s="253"/>
      <c r="HK42" s="253"/>
      <c r="HL42" s="253"/>
      <c r="HM42" s="253"/>
      <c r="HN42" s="253"/>
      <c r="HO42" s="253"/>
      <c r="HP42" s="253"/>
      <c r="HQ42" s="253"/>
      <c r="HR42" s="253"/>
      <c r="HS42" s="253"/>
      <c r="HT42" s="253"/>
      <c r="HU42" s="253"/>
      <c r="HV42" s="253"/>
      <c r="HW42" s="253"/>
      <c r="HX42" s="253"/>
      <c r="HY42" s="253"/>
      <c r="HZ42" s="253"/>
      <c r="IA42" s="253"/>
      <c r="IB42" s="253"/>
      <c r="IC42" s="253"/>
      <c r="ID42" s="253"/>
      <c r="IE42" s="253"/>
      <c r="IF42" s="253"/>
      <c r="IG42" s="253"/>
      <c r="IH42" s="253"/>
      <c r="II42" s="253"/>
      <c r="IJ42" s="253"/>
      <c r="IK42" s="253"/>
      <c r="IL42" s="253"/>
      <c r="IM42" s="253"/>
      <c r="IN42" s="253"/>
      <c r="IO42" s="253"/>
      <c r="IP42" s="253"/>
      <c r="IQ42" s="253"/>
      <c r="IR42" s="253"/>
      <c r="IS42" s="253"/>
      <c r="IT42" s="253"/>
      <c r="IU42" s="253"/>
      <c r="IV42" s="253"/>
    </row>
    <row r="43" spans="1:256" ht="12.75" customHeight="1">
      <c r="A43" s="337">
        <v>120</v>
      </c>
      <c r="B43" s="339" t="s">
        <v>273</v>
      </c>
      <c r="C43" s="392"/>
      <c r="D43" s="347" t="s">
        <v>305</v>
      </c>
      <c r="E43" s="337">
        <v>120</v>
      </c>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c r="EI43" s="253"/>
      <c r="EJ43" s="253"/>
      <c r="EK43" s="253"/>
      <c r="EL43" s="253"/>
      <c r="EM43" s="253"/>
      <c r="EN43" s="253"/>
      <c r="EO43" s="253"/>
      <c r="EP43" s="253"/>
      <c r="EQ43" s="253"/>
      <c r="ER43" s="253"/>
      <c r="ES43" s="253"/>
      <c r="ET43" s="253"/>
      <c r="EU43" s="253"/>
      <c r="EV43" s="253"/>
      <c r="EW43" s="253"/>
      <c r="EX43" s="253"/>
      <c r="EY43" s="253"/>
      <c r="EZ43" s="253"/>
      <c r="FA43" s="253"/>
      <c r="FB43" s="253"/>
      <c r="FC43" s="253"/>
      <c r="FD43" s="253"/>
      <c r="FE43" s="253"/>
      <c r="FF43" s="253"/>
      <c r="FG43" s="253"/>
      <c r="FH43" s="253"/>
      <c r="FI43" s="253"/>
      <c r="FJ43" s="253"/>
      <c r="FK43" s="253"/>
      <c r="FL43" s="253"/>
      <c r="FM43" s="253"/>
      <c r="FN43" s="253"/>
      <c r="FO43" s="253"/>
      <c r="FP43" s="253"/>
      <c r="FQ43" s="253"/>
      <c r="FR43" s="253"/>
      <c r="FS43" s="253"/>
      <c r="FT43" s="253"/>
      <c r="FU43" s="253"/>
      <c r="FV43" s="253"/>
      <c r="FW43" s="253"/>
      <c r="FX43" s="253"/>
      <c r="FY43" s="253"/>
      <c r="FZ43" s="253"/>
      <c r="GA43" s="253"/>
      <c r="GB43" s="253"/>
      <c r="GC43" s="253"/>
      <c r="GD43" s="253"/>
      <c r="GE43" s="253"/>
      <c r="GF43" s="253"/>
      <c r="GG43" s="253"/>
      <c r="GH43" s="253"/>
      <c r="GI43" s="253"/>
      <c r="GJ43" s="253"/>
      <c r="GK43" s="253"/>
      <c r="GL43" s="253"/>
      <c r="GM43" s="253"/>
      <c r="GN43" s="253"/>
      <c r="GO43" s="253"/>
      <c r="GP43" s="253"/>
      <c r="GQ43" s="253"/>
      <c r="GR43" s="253"/>
      <c r="GS43" s="253"/>
      <c r="GT43" s="253"/>
      <c r="GU43" s="253"/>
      <c r="GV43" s="253"/>
      <c r="GW43" s="253"/>
      <c r="GX43" s="253"/>
      <c r="GY43" s="253"/>
      <c r="GZ43" s="253"/>
      <c r="HA43" s="253"/>
      <c r="HB43" s="253"/>
      <c r="HC43" s="253"/>
      <c r="HD43" s="253"/>
      <c r="HE43" s="253"/>
      <c r="HF43" s="253"/>
      <c r="HG43" s="253"/>
      <c r="HH43" s="253"/>
      <c r="HI43" s="253"/>
      <c r="HJ43" s="253"/>
      <c r="HK43" s="253"/>
      <c r="HL43" s="253"/>
      <c r="HM43" s="253"/>
      <c r="HN43" s="253"/>
      <c r="HO43" s="253"/>
      <c r="HP43" s="253"/>
      <c r="HQ43" s="253"/>
      <c r="HR43" s="253"/>
      <c r="HS43" s="253"/>
      <c r="HT43" s="253"/>
      <c r="HU43" s="253"/>
      <c r="HV43" s="253"/>
      <c r="HW43" s="253"/>
      <c r="HX43" s="253"/>
      <c r="HY43" s="253"/>
      <c r="HZ43" s="253"/>
      <c r="IA43" s="253"/>
      <c r="IB43" s="253"/>
      <c r="IC43" s="253"/>
      <c r="ID43" s="253"/>
      <c r="IE43" s="253"/>
      <c r="IF43" s="253"/>
      <c r="IG43" s="253"/>
      <c r="IH43" s="253"/>
      <c r="II43" s="253"/>
      <c r="IJ43" s="253"/>
      <c r="IK43" s="253"/>
      <c r="IL43" s="253"/>
      <c r="IM43" s="253"/>
      <c r="IN43" s="253"/>
      <c r="IO43" s="253"/>
      <c r="IP43" s="253"/>
      <c r="IQ43" s="253"/>
      <c r="IR43" s="253"/>
      <c r="IS43" s="253"/>
      <c r="IT43" s="253"/>
      <c r="IU43" s="253"/>
      <c r="IV43" s="253"/>
    </row>
    <row r="44" spans="1:256" ht="12.75" customHeight="1">
      <c r="A44" s="337">
        <f>A43+1</f>
        <v>121</v>
      </c>
      <c r="B44" s="339" t="s">
        <v>192</v>
      </c>
      <c r="C44" s="392"/>
      <c r="D44" s="347"/>
      <c r="E44" s="337">
        <f>E43+1</f>
        <v>121</v>
      </c>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253"/>
      <c r="CE44" s="253"/>
      <c r="CF44" s="253"/>
      <c r="CG44" s="253"/>
      <c r="CH44" s="253"/>
      <c r="CI44" s="253"/>
      <c r="CJ44" s="253"/>
      <c r="CK44" s="253"/>
      <c r="CL44" s="253"/>
      <c r="CM44" s="253"/>
      <c r="CN44" s="253"/>
      <c r="CO44" s="253"/>
      <c r="CP44" s="253"/>
      <c r="CQ44" s="253"/>
      <c r="CR44" s="253"/>
      <c r="CS44" s="253"/>
      <c r="CT44" s="253"/>
      <c r="CU44" s="253"/>
      <c r="CV44" s="253"/>
      <c r="CW44" s="253"/>
      <c r="CX44" s="253"/>
      <c r="CY44" s="253"/>
      <c r="CZ44" s="253"/>
      <c r="DA44" s="253"/>
      <c r="DB44" s="253"/>
      <c r="DC44" s="253"/>
      <c r="DD44" s="253"/>
      <c r="DE44" s="253"/>
      <c r="DF44" s="253"/>
      <c r="DG44" s="253"/>
      <c r="DH44" s="253"/>
      <c r="DI44" s="253"/>
      <c r="DJ44" s="253"/>
      <c r="DK44" s="253"/>
      <c r="DL44" s="253"/>
      <c r="DM44" s="253"/>
      <c r="DN44" s="253"/>
      <c r="DO44" s="253"/>
      <c r="DP44" s="253"/>
      <c r="DQ44" s="253"/>
      <c r="DR44" s="253"/>
      <c r="DS44" s="253"/>
      <c r="DT44" s="253"/>
      <c r="DU44" s="253"/>
      <c r="DV44" s="253"/>
      <c r="DW44" s="253"/>
      <c r="DX44" s="253"/>
      <c r="DY44" s="253"/>
      <c r="DZ44" s="253"/>
      <c r="EA44" s="253"/>
      <c r="EB44" s="253"/>
      <c r="EC44" s="253"/>
      <c r="ED44" s="253"/>
      <c r="EE44" s="253"/>
      <c r="EF44" s="253"/>
      <c r="EG44" s="253"/>
      <c r="EH44" s="253"/>
      <c r="EI44" s="253"/>
      <c r="EJ44" s="253"/>
      <c r="EK44" s="253"/>
      <c r="EL44" s="253"/>
      <c r="EM44" s="253"/>
      <c r="EN44" s="253"/>
      <c r="EO44" s="253"/>
      <c r="EP44" s="253"/>
      <c r="EQ44" s="253"/>
      <c r="ER44" s="253"/>
      <c r="ES44" s="253"/>
      <c r="ET44" s="253"/>
      <c r="EU44" s="253"/>
      <c r="EV44" s="253"/>
      <c r="EW44" s="253"/>
      <c r="EX44" s="253"/>
      <c r="EY44" s="253"/>
      <c r="EZ44" s="253"/>
      <c r="FA44" s="253"/>
      <c r="FB44" s="253"/>
      <c r="FC44" s="253"/>
      <c r="FD44" s="253"/>
      <c r="FE44" s="253"/>
      <c r="FF44" s="253"/>
      <c r="FG44" s="253"/>
      <c r="FH44" s="253"/>
      <c r="FI44" s="253"/>
      <c r="FJ44" s="253"/>
      <c r="FK44" s="253"/>
      <c r="FL44" s="253"/>
      <c r="FM44" s="253"/>
      <c r="FN44" s="253"/>
      <c r="FO44" s="253"/>
      <c r="FP44" s="253"/>
      <c r="FQ44" s="253"/>
      <c r="FR44" s="253"/>
      <c r="FS44" s="253"/>
      <c r="FT44" s="253"/>
      <c r="FU44" s="253"/>
      <c r="FV44" s="253"/>
      <c r="FW44" s="253"/>
      <c r="FX44" s="253"/>
      <c r="FY44" s="253"/>
      <c r="FZ44" s="253"/>
      <c r="GA44" s="253"/>
      <c r="GB44" s="253"/>
      <c r="GC44" s="253"/>
      <c r="GD44" s="253"/>
      <c r="GE44" s="253"/>
      <c r="GF44" s="253"/>
      <c r="GG44" s="253"/>
      <c r="GH44" s="253"/>
      <c r="GI44" s="253"/>
      <c r="GJ44" s="253"/>
      <c r="GK44" s="253"/>
      <c r="GL44" s="253"/>
      <c r="GM44" s="253"/>
      <c r="GN44" s="253"/>
      <c r="GO44" s="253"/>
      <c r="GP44" s="253"/>
      <c r="GQ44" s="253"/>
      <c r="GR44" s="253"/>
      <c r="GS44" s="253"/>
      <c r="GT44" s="253"/>
      <c r="GU44" s="253"/>
      <c r="GV44" s="253"/>
      <c r="GW44" s="253"/>
      <c r="GX44" s="253"/>
      <c r="GY44" s="253"/>
      <c r="GZ44" s="253"/>
      <c r="HA44" s="253"/>
      <c r="HB44" s="253"/>
      <c r="HC44" s="253"/>
      <c r="HD44" s="253"/>
      <c r="HE44" s="253"/>
      <c r="HF44" s="253"/>
      <c r="HG44" s="253"/>
      <c r="HH44" s="253"/>
      <c r="HI44" s="253"/>
      <c r="HJ44" s="253"/>
      <c r="HK44" s="253"/>
      <c r="HL44" s="253"/>
      <c r="HM44" s="253"/>
      <c r="HN44" s="253"/>
      <c r="HO44" s="253"/>
      <c r="HP44" s="253"/>
      <c r="HQ44" s="253"/>
      <c r="HR44" s="253"/>
      <c r="HS44" s="253"/>
      <c r="HT44" s="253"/>
      <c r="HU44" s="253"/>
      <c r="HV44" s="253"/>
      <c r="HW44" s="253"/>
      <c r="HX44" s="253"/>
      <c r="HY44" s="253"/>
      <c r="HZ44" s="253"/>
      <c r="IA44" s="253"/>
      <c r="IB44" s="253"/>
      <c r="IC44" s="253"/>
      <c r="ID44" s="253"/>
      <c r="IE44" s="253"/>
      <c r="IF44" s="253"/>
      <c r="IG44" s="253"/>
      <c r="IH44" s="253"/>
      <c r="II44" s="253"/>
      <c r="IJ44" s="253"/>
      <c r="IK44" s="253"/>
      <c r="IL44" s="253"/>
      <c r="IM44" s="253"/>
      <c r="IN44" s="253"/>
      <c r="IO44" s="253"/>
      <c r="IP44" s="253"/>
      <c r="IQ44" s="253"/>
      <c r="IR44" s="253"/>
      <c r="IS44" s="253"/>
      <c r="IT44" s="253"/>
      <c r="IU44" s="253"/>
      <c r="IV44" s="253"/>
    </row>
    <row r="45" spans="1:256" ht="12.75" customHeight="1">
      <c r="A45" s="337">
        <f>A44+1</f>
        <v>122</v>
      </c>
      <c r="B45" s="399" t="s">
        <v>193</v>
      </c>
      <c r="C45" s="392"/>
      <c r="D45" s="347"/>
      <c r="E45" s="337">
        <f>E44+1</f>
        <v>122</v>
      </c>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253"/>
      <c r="BS45" s="253"/>
      <c r="BT45" s="253"/>
      <c r="BU45" s="253"/>
      <c r="BV45" s="253"/>
      <c r="BW45" s="253"/>
      <c r="BX45" s="253"/>
      <c r="BY45" s="253"/>
      <c r="BZ45" s="253"/>
      <c r="CA45" s="253"/>
      <c r="CB45" s="253"/>
      <c r="CC45" s="253"/>
      <c r="CD45" s="253"/>
      <c r="CE45" s="253"/>
      <c r="CF45" s="253"/>
      <c r="CG45" s="253"/>
      <c r="CH45" s="253"/>
      <c r="CI45" s="253"/>
      <c r="CJ45" s="253"/>
      <c r="CK45" s="253"/>
      <c r="CL45" s="253"/>
      <c r="CM45" s="253"/>
      <c r="CN45" s="253"/>
      <c r="CO45" s="253"/>
      <c r="CP45" s="253"/>
      <c r="CQ45" s="253"/>
      <c r="CR45" s="253"/>
      <c r="CS45" s="253"/>
      <c r="CT45" s="253"/>
      <c r="CU45" s="253"/>
      <c r="CV45" s="253"/>
      <c r="CW45" s="253"/>
      <c r="CX45" s="253"/>
      <c r="CY45" s="253"/>
      <c r="CZ45" s="253"/>
      <c r="DA45" s="253"/>
      <c r="DB45" s="253"/>
      <c r="DC45" s="253"/>
      <c r="DD45" s="253"/>
      <c r="DE45" s="253"/>
      <c r="DF45" s="253"/>
      <c r="DG45" s="253"/>
      <c r="DH45" s="253"/>
      <c r="DI45" s="253"/>
      <c r="DJ45" s="253"/>
      <c r="DK45" s="253"/>
      <c r="DL45" s="253"/>
      <c r="DM45" s="253"/>
      <c r="DN45" s="253"/>
      <c r="DO45" s="253"/>
      <c r="DP45" s="253"/>
      <c r="DQ45" s="253"/>
      <c r="DR45" s="253"/>
      <c r="DS45" s="253"/>
      <c r="DT45" s="253"/>
      <c r="DU45" s="253"/>
      <c r="DV45" s="253"/>
      <c r="DW45" s="253"/>
      <c r="DX45" s="253"/>
      <c r="DY45" s="253"/>
      <c r="DZ45" s="253"/>
      <c r="EA45" s="253"/>
      <c r="EB45" s="253"/>
      <c r="EC45" s="253"/>
      <c r="ED45" s="253"/>
      <c r="EE45" s="253"/>
      <c r="EF45" s="253"/>
      <c r="EG45" s="253"/>
      <c r="EH45" s="253"/>
      <c r="EI45" s="253"/>
      <c r="EJ45" s="253"/>
      <c r="EK45" s="253"/>
      <c r="EL45" s="253"/>
      <c r="EM45" s="253"/>
      <c r="EN45" s="253"/>
      <c r="EO45" s="253"/>
      <c r="EP45" s="253"/>
      <c r="EQ45" s="253"/>
      <c r="ER45" s="253"/>
      <c r="ES45" s="253"/>
      <c r="ET45" s="253"/>
      <c r="EU45" s="253"/>
      <c r="EV45" s="253"/>
      <c r="EW45" s="253"/>
      <c r="EX45" s="253"/>
      <c r="EY45" s="253"/>
      <c r="EZ45" s="253"/>
      <c r="FA45" s="253"/>
      <c r="FB45" s="253"/>
      <c r="FC45" s="253"/>
      <c r="FD45" s="253"/>
      <c r="FE45" s="253"/>
      <c r="FF45" s="253"/>
      <c r="FG45" s="253"/>
      <c r="FH45" s="253"/>
      <c r="FI45" s="253"/>
      <c r="FJ45" s="253"/>
      <c r="FK45" s="253"/>
      <c r="FL45" s="253"/>
      <c r="FM45" s="253"/>
      <c r="FN45" s="253"/>
      <c r="FO45" s="253"/>
      <c r="FP45" s="253"/>
      <c r="FQ45" s="253"/>
      <c r="FR45" s="253"/>
      <c r="FS45" s="253"/>
      <c r="FT45" s="253"/>
      <c r="FU45" s="253"/>
      <c r="FV45" s="253"/>
      <c r="FW45" s="253"/>
      <c r="FX45" s="253"/>
      <c r="FY45" s="253"/>
      <c r="FZ45" s="253"/>
      <c r="GA45" s="253"/>
      <c r="GB45" s="253"/>
      <c r="GC45" s="253"/>
      <c r="GD45" s="253"/>
      <c r="GE45" s="253"/>
      <c r="GF45" s="253"/>
      <c r="GG45" s="253"/>
      <c r="GH45" s="253"/>
      <c r="GI45" s="253"/>
      <c r="GJ45" s="253"/>
      <c r="GK45" s="253"/>
      <c r="GL45" s="253"/>
      <c r="GM45" s="253"/>
      <c r="GN45" s="253"/>
      <c r="GO45" s="253"/>
      <c r="GP45" s="253"/>
      <c r="GQ45" s="253"/>
      <c r="GR45" s="253"/>
      <c r="GS45" s="253"/>
      <c r="GT45" s="253"/>
      <c r="GU45" s="253"/>
      <c r="GV45" s="253"/>
      <c r="GW45" s="253"/>
      <c r="GX45" s="253"/>
      <c r="GY45" s="253"/>
      <c r="GZ45" s="253"/>
      <c r="HA45" s="253"/>
      <c r="HB45" s="253"/>
      <c r="HC45" s="253"/>
      <c r="HD45" s="253"/>
      <c r="HE45" s="253"/>
      <c r="HF45" s="253"/>
      <c r="HG45" s="253"/>
      <c r="HH45" s="253"/>
      <c r="HI45" s="253"/>
      <c r="HJ45" s="253"/>
      <c r="HK45" s="253"/>
      <c r="HL45" s="253"/>
      <c r="HM45" s="253"/>
      <c r="HN45" s="253"/>
      <c r="HO45" s="253"/>
      <c r="HP45" s="253"/>
      <c r="HQ45" s="253"/>
      <c r="HR45" s="253"/>
      <c r="HS45" s="253"/>
      <c r="HT45" s="253"/>
      <c r="HU45" s="253"/>
      <c r="HV45" s="253"/>
      <c r="HW45" s="253"/>
      <c r="HX45" s="253"/>
      <c r="HY45" s="253"/>
      <c r="HZ45" s="253"/>
      <c r="IA45" s="253"/>
      <c r="IB45" s="253"/>
      <c r="IC45" s="253"/>
      <c r="ID45" s="253"/>
      <c r="IE45" s="253"/>
      <c r="IF45" s="253"/>
      <c r="IG45" s="253"/>
      <c r="IH45" s="253"/>
      <c r="II45" s="253"/>
      <c r="IJ45" s="253"/>
      <c r="IK45" s="253"/>
      <c r="IL45" s="253"/>
      <c r="IM45" s="253"/>
      <c r="IN45" s="253"/>
      <c r="IO45" s="253"/>
      <c r="IP45" s="253"/>
      <c r="IQ45" s="253"/>
      <c r="IR45" s="253"/>
      <c r="IS45" s="253"/>
      <c r="IT45" s="253"/>
      <c r="IU45" s="253"/>
      <c r="IV45" s="253"/>
    </row>
    <row r="46" spans="1:256" ht="12.75" customHeight="1">
      <c r="A46" s="337">
        <f>A45+1</f>
        <v>123</v>
      </c>
      <c r="B46" s="339" t="s">
        <v>274</v>
      </c>
      <c r="C46" s="392"/>
      <c r="D46" s="347"/>
      <c r="E46" s="337">
        <f>E45+1</f>
        <v>123</v>
      </c>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253"/>
      <c r="CA46" s="253"/>
      <c r="CB46" s="253"/>
      <c r="CC46" s="253"/>
      <c r="CD46" s="253"/>
      <c r="CE46" s="253"/>
      <c r="CF46" s="253"/>
      <c r="CG46" s="253"/>
      <c r="CH46" s="253"/>
      <c r="CI46" s="253"/>
      <c r="CJ46" s="253"/>
      <c r="CK46" s="253"/>
      <c r="CL46" s="253"/>
      <c r="CM46" s="253"/>
      <c r="CN46" s="253"/>
      <c r="CO46" s="253"/>
      <c r="CP46" s="253"/>
      <c r="CQ46" s="253"/>
      <c r="CR46" s="253"/>
      <c r="CS46" s="253"/>
      <c r="CT46" s="253"/>
      <c r="CU46" s="253"/>
      <c r="CV46" s="253"/>
      <c r="CW46" s="253"/>
      <c r="CX46" s="253"/>
      <c r="CY46" s="253"/>
      <c r="CZ46" s="253"/>
      <c r="DA46" s="253"/>
      <c r="DB46" s="253"/>
      <c r="DC46" s="253"/>
      <c r="DD46" s="253"/>
      <c r="DE46" s="253"/>
      <c r="DF46" s="253"/>
      <c r="DG46" s="253"/>
      <c r="DH46" s="253"/>
      <c r="DI46" s="253"/>
      <c r="DJ46" s="253"/>
      <c r="DK46" s="253"/>
      <c r="DL46" s="253"/>
      <c r="DM46" s="253"/>
      <c r="DN46" s="253"/>
      <c r="DO46" s="253"/>
      <c r="DP46" s="253"/>
      <c r="DQ46" s="253"/>
      <c r="DR46" s="253"/>
      <c r="DS46" s="253"/>
      <c r="DT46" s="253"/>
      <c r="DU46" s="253"/>
      <c r="DV46" s="253"/>
      <c r="DW46" s="253"/>
      <c r="DX46" s="253"/>
      <c r="DY46" s="253"/>
      <c r="DZ46" s="253"/>
      <c r="EA46" s="253"/>
      <c r="EB46" s="253"/>
      <c r="EC46" s="253"/>
      <c r="ED46" s="253"/>
      <c r="EE46" s="253"/>
      <c r="EF46" s="253"/>
      <c r="EG46" s="253"/>
      <c r="EH46" s="253"/>
      <c r="EI46" s="253"/>
      <c r="EJ46" s="253"/>
      <c r="EK46" s="253"/>
      <c r="EL46" s="253"/>
      <c r="EM46" s="253"/>
      <c r="EN46" s="253"/>
      <c r="EO46" s="253"/>
      <c r="EP46" s="253"/>
      <c r="EQ46" s="253"/>
      <c r="ER46" s="253"/>
      <c r="ES46" s="253"/>
      <c r="ET46" s="253"/>
      <c r="EU46" s="253"/>
      <c r="EV46" s="253"/>
      <c r="EW46" s="253"/>
      <c r="EX46" s="253"/>
      <c r="EY46" s="253"/>
      <c r="EZ46" s="253"/>
      <c r="FA46" s="253"/>
      <c r="FB46" s="253"/>
      <c r="FC46" s="253"/>
      <c r="FD46" s="253"/>
      <c r="FE46" s="253"/>
      <c r="FF46" s="253"/>
      <c r="FG46" s="253"/>
      <c r="FH46" s="253"/>
      <c r="FI46" s="253"/>
      <c r="FJ46" s="253"/>
      <c r="FK46" s="253"/>
      <c r="FL46" s="253"/>
      <c r="FM46" s="253"/>
      <c r="FN46" s="253"/>
      <c r="FO46" s="253"/>
      <c r="FP46" s="253"/>
      <c r="FQ46" s="253"/>
      <c r="FR46" s="253"/>
      <c r="FS46" s="253"/>
      <c r="FT46" s="253"/>
      <c r="FU46" s="253"/>
      <c r="FV46" s="253"/>
      <c r="FW46" s="253"/>
      <c r="FX46" s="253"/>
      <c r="FY46" s="253"/>
      <c r="FZ46" s="253"/>
      <c r="GA46" s="253"/>
      <c r="GB46" s="253"/>
      <c r="GC46" s="253"/>
      <c r="GD46" s="253"/>
      <c r="GE46" s="253"/>
      <c r="GF46" s="253"/>
      <c r="GG46" s="253"/>
      <c r="GH46" s="253"/>
      <c r="GI46" s="253"/>
      <c r="GJ46" s="253"/>
      <c r="GK46" s="253"/>
      <c r="GL46" s="253"/>
      <c r="GM46" s="253"/>
      <c r="GN46" s="253"/>
      <c r="GO46" s="253"/>
      <c r="GP46" s="253"/>
      <c r="GQ46" s="253"/>
      <c r="GR46" s="253"/>
      <c r="GS46" s="253"/>
      <c r="GT46" s="253"/>
      <c r="GU46" s="253"/>
      <c r="GV46" s="253"/>
      <c r="GW46" s="253"/>
      <c r="GX46" s="253"/>
      <c r="GY46" s="253"/>
      <c r="GZ46" s="253"/>
      <c r="HA46" s="253"/>
      <c r="HB46" s="253"/>
      <c r="HC46" s="253"/>
      <c r="HD46" s="253"/>
      <c r="HE46" s="253"/>
      <c r="HF46" s="253"/>
      <c r="HG46" s="253"/>
      <c r="HH46" s="253"/>
      <c r="HI46" s="253"/>
      <c r="HJ46" s="253"/>
      <c r="HK46" s="253"/>
      <c r="HL46" s="253"/>
      <c r="HM46" s="253"/>
      <c r="HN46" s="253"/>
      <c r="HO46" s="253"/>
      <c r="HP46" s="253"/>
      <c r="HQ46" s="253"/>
      <c r="HR46" s="253"/>
      <c r="HS46" s="253"/>
      <c r="HT46" s="253"/>
      <c r="HU46" s="253"/>
      <c r="HV46" s="253"/>
      <c r="HW46" s="253"/>
      <c r="HX46" s="253"/>
      <c r="HY46" s="253"/>
      <c r="HZ46" s="253"/>
      <c r="IA46" s="253"/>
      <c r="IB46" s="253"/>
      <c r="IC46" s="253"/>
      <c r="ID46" s="253"/>
      <c r="IE46" s="253"/>
      <c r="IF46" s="253"/>
      <c r="IG46" s="253"/>
      <c r="IH46" s="253"/>
      <c r="II46" s="253"/>
      <c r="IJ46" s="253"/>
      <c r="IK46" s="253"/>
      <c r="IL46" s="253"/>
      <c r="IM46" s="253"/>
      <c r="IN46" s="253"/>
      <c r="IO46" s="253"/>
      <c r="IP46" s="253"/>
      <c r="IQ46" s="253"/>
      <c r="IR46" s="253"/>
      <c r="IS46" s="253"/>
      <c r="IT46" s="253"/>
      <c r="IU46" s="253"/>
      <c r="IV46" s="253"/>
    </row>
    <row r="47" spans="1:256" ht="12.75" customHeight="1">
      <c r="A47" s="337">
        <v>124</v>
      </c>
      <c r="B47" s="339" t="s">
        <v>275</v>
      </c>
      <c r="C47" s="392"/>
      <c r="D47" s="420"/>
      <c r="E47" s="337">
        <v>124</v>
      </c>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J47" s="253"/>
      <c r="CK47" s="253"/>
      <c r="CL47" s="253"/>
      <c r="CM47" s="253"/>
      <c r="CN47" s="253"/>
      <c r="CO47" s="253"/>
      <c r="CP47" s="253"/>
      <c r="CQ47" s="253"/>
      <c r="CR47" s="253"/>
      <c r="CS47" s="253"/>
      <c r="CT47" s="253"/>
      <c r="CU47" s="253"/>
      <c r="CV47" s="253"/>
      <c r="CW47" s="253"/>
      <c r="CX47" s="253"/>
      <c r="CY47" s="253"/>
      <c r="CZ47" s="253"/>
      <c r="DA47" s="253"/>
      <c r="DB47" s="253"/>
      <c r="DC47" s="253"/>
      <c r="DD47" s="253"/>
      <c r="DE47" s="253"/>
      <c r="DF47" s="253"/>
      <c r="DG47" s="253"/>
      <c r="DH47" s="253"/>
      <c r="DI47" s="253"/>
      <c r="DJ47" s="253"/>
      <c r="DK47" s="253"/>
      <c r="DL47" s="253"/>
      <c r="DM47" s="253"/>
      <c r="DN47" s="253"/>
      <c r="DO47" s="253"/>
      <c r="DP47" s="253"/>
      <c r="DQ47" s="253"/>
      <c r="DR47" s="253"/>
      <c r="DS47" s="253"/>
      <c r="DT47" s="253"/>
      <c r="DU47" s="253"/>
      <c r="DV47" s="253"/>
      <c r="DW47" s="253"/>
      <c r="DX47" s="253"/>
      <c r="DY47" s="253"/>
      <c r="DZ47" s="253"/>
      <c r="EA47" s="253"/>
      <c r="EB47" s="253"/>
      <c r="EC47" s="253"/>
      <c r="ED47" s="253"/>
      <c r="EE47" s="253"/>
      <c r="EF47" s="253"/>
      <c r="EG47" s="253"/>
      <c r="EH47" s="253"/>
      <c r="EI47" s="253"/>
      <c r="EJ47" s="253"/>
      <c r="EK47" s="253"/>
      <c r="EL47" s="253"/>
      <c r="EM47" s="253"/>
      <c r="EN47" s="253"/>
      <c r="EO47" s="253"/>
      <c r="EP47" s="253"/>
      <c r="EQ47" s="253"/>
      <c r="ER47" s="253"/>
      <c r="ES47" s="253"/>
      <c r="ET47" s="253"/>
      <c r="EU47" s="253"/>
      <c r="EV47" s="253"/>
      <c r="EW47" s="253"/>
      <c r="EX47" s="253"/>
      <c r="EY47" s="253"/>
      <c r="EZ47" s="253"/>
      <c r="FA47" s="253"/>
      <c r="FB47" s="253"/>
      <c r="FC47" s="253"/>
      <c r="FD47" s="253"/>
      <c r="FE47" s="253"/>
      <c r="FF47" s="253"/>
      <c r="FG47" s="253"/>
      <c r="FH47" s="253"/>
      <c r="FI47" s="253"/>
      <c r="FJ47" s="253"/>
      <c r="FK47" s="253"/>
      <c r="FL47" s="253"/>
      <c r="FM47" s="253"/>
      <c r="FN47" s="253"/>
      <c r="FO47" s="253"/>
      <c r="FP47" s="253"/>
      <c r="FQ47" s="253"/>
      <c r="FR47" s="253"/>
      <c r="FS47" s="253"/>
      <c r="FT47" s="253"/>
      <c r="FU47" s="253"/>
      <c r="FV47" s="253"/>
      <c r="FW47" s="253"/>
      <c r="FX47" s="253"/>
      <c r="FY47" s="253"/>
      <c r="FZ47" s="253"/>
      <c r="GA47" s="253"/>
      <c r="GB47" s="253"/>
      <c r="GC47" s="253"/>
      <c r="GD47" s="253"/>
      <c r="GE47" s="253"/>
      <c r="GF47" s="253"/>
      <c r="GG47" s="253"/>
      <c r="GH47" s="253"/>
      <c r="GI47" s="253"/>
      <c r="GJ47" s="253"/>
      <c r="GK47" s="253"/>
      <c r="GL47" s="253"/>
      <c r="GM47" s="253"/>
      <c r="GN47" s="253"/>
      <c r="GO47" s="253"/>
      <c r="GP47" s="253"/>
      <c r="GQ47" s="253"/>
      <c r="GR47" s="253"/>
      <c r="GS47" s="253"/>
      <c r="GT47" s="253"/>
      <c r="GU47" s="253"/>
      <c r="GV47" s="253"/>
      <c r="GW47" s="253"/>
      <c r="GX47" s="253"/>
      <c r="GY47" s="253"/>
      <c r="GZ47" s="253"/>
      <c r="HA47" s="253"/>
      <c r="HB47" s="253"/>
      <c r="HC47" s="253"/>
      <c r="HD47" s="253"/>
      <c r="HE47" s="253"/>
      <c r="HF47" s="253"/>
      <c r="HG47" s="253"/>
      <c r="HH47" s="253"/>
      <c r="HI47" s="253"/>
      <c r="HJ47" s="253"/>
      <c r="HK47" s="253"/>
      <c r="HL47" s="253"/>
      <c r="HM47" s="253"/>
      <c r="HN47" s="253"/>
      <c r="HO47" s="253"/>
      <c r="HP47" s="253"/>
      <c r="HQ47" s="253"/>
      <c r="HR47" s="253"/>
      <c r="HS47" s="253"/>
      <c r="HT47" s="253"/>
      <c r="HU47" s="253"/>
      <c r="HV47" s="253"/>
      <c r="HW47" s="253"/>
      <c r="HX47" s="253"/>
      <c r="HY47" s="253"/>
      <c r="HZ47" s="253"/>
      <c r="IA47" s="253"/>
      <c r="IB47" s="253"/>
      <c r="IC47" s="253"/>
      <c r="ID47" s="253"/>
      <c r="IE47" s="253"/>
      <c r="IF47" s="253"/>
      <c r="IG47" s="253"/>
      <c r="IH47" s="253"/>
      <c r="II47" s="253"/>
      <c r="IJ47" s="253"/>
      <c r="IK47" s="253"/>
      <c r="IL47" s="253"/>
      <c r="IM47" s="253"/>
      <c r="IN47" s="253"/>
      <c r="IO47" s="253"/>
      <c r="IP47" s="253"/>
      <c r="IQ47" s="253"/>
      <c r="IR47" s="253"/>
      <c r="IS47" s="253"/>
      <c r="IT47" s="253"/>
      <c r="IU47" s="253"/>
      <c r="IV47" s="253"/>
    </row>
    <row r="48" spans="1:256" ht="12.75" customHeight="1">
      <c r="A48" s="337">
        <v>125</v>
      </c>
      <c r="B48" s="339" t="s">
        <v>276</v>
      </c>
      <c r="C48" s="392"/>
      <c r="D48" s="420"/>
      <c r="E48" s="337">
        <v>125</v>
      </c>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3"/>
      <c r="BZ48" s="253"/>
      <c r="CA48" s="253"/>
      <c r="CB48" s="253"/>
      <c r="CC48" s="253"/>
      <c r="CD48" s="253"/>
      <c r="CE48" s="253"/>
      <c r="CF48" s="253"/>
      <c r="CG48" s="253"/>
      <c r="CH48" s="253"/>
      <c r="CI48" s="253"/>
      <c r="CJ48" s="253"/>
      <c r="CK48" s="253"/>
      <c r="CL48" s="253"/>
      <c r="CM48" s="253"/>
      <c r="CN48" s="253"/>
      <c r="CO48" s="253"/>
      <c r="CP48" s="253"/>
      <c r="CQ48" s="253"/>
      <c r="CR48" s="253"/>
      <c r="CS48" s="253"/>
      <c r="CT48" s="253"/>
      <c r="CU48" s="253"/>
      <c r="CV48" s="253"/>
      <c r="CW48" s="253"/>
      <c r="CX48" s="253"/>
      <c r="CY48" s="253"/>
      <c r="CZ48" s="253"/>
      <c r="DA48" s="253"/>
      <c r="DB48" s="253"/>
      <c r="DC48" s="253"/>
      <c r="DD48" s="253"/>
      <c r="DE48" s="253"/>
      <c r="DF48" s="253"/>
      <c r="DG48" s="253"/>
      <c r="DH48" s="253"/>
      <c r="DI48" s="253"/>
      <c r="DJ48" s="253"/>
      <c r="DK48" s="253"/>
      <c r="DL48" s="253"/>
      <c r="DM48" s="253"/>
      <c r="DN48" s="253"/>
      <c r="DO48" s="253"/>
      <c r="DP48" s="253"/>
      <c r="DQ48" s="253"/>
      <c r="DR48" s="253"/>
      <c r="DS48" s="253"/>
      <c r="DT48" s="253"/>
      <c r="DU48" s="253"/>
      <c r="DV48" s="253"/>
      <c r="DW48" s="253"/>
      <c r="DX48" s="253"/>
      <c r="DY48" s="253"/>
      <c r="DZ48" s="253"/>
      <c r="EA48" s="253"/>
      <c r="EB48" s="253"/>
      <c r="EC48" s="253"/>
      <c r="ED48" s="253"/>
      <c r="EE48" s="253"/>
      <c r="EF48" s="253"/>
      <c r="EG48" s="253"/>
      <c r="EH48" s="253"/>
      <c r="EI48" s="253"/>
      <c r="EJ48" s="253"/>
      <c r="EK48" s="253"/>
      <c r="EL48" s="253"/>
      <c r="EM48" s="253"/>
      <c r="EN48" s="253"/>
      <c r="EO48" s="253"/>
      <c r="EP48" s="253"/>
      <c r="EQ48" s="253"/>
      <c r="ER48" s="253"/>
      <c r="ES48" s="253"/>
      <c r="ET48" s="253"/>
      <c r="EU48" s="253"/>
      <c r="EV48" s="253"/>
      <c r="EW48" s="253"/>
      <c r="EX48" s="253"/>
      <c r="EY48" s="253"/>
      <c r="EZ48" s="253"/>
      <c r="FA48" s="253"/>
      <c r="FB48" s="253"/>
      <c r="FC48" s="253"/>
      <c r="FD48" s="253"/>
      <c r="FE48" s="253"/>
      <c r="FF48" s="253"/>
      <c r="FG48" s="253"/>
      <c r="FH48" s="253"/>
      <c r="FI48" s="253"/>
      <c r="FJ48" s="253"/>
      <c r="FK48" s="253"/>
      <c r="FL48" s="253"/>
      <c r="FM48" s="253"/>
      <c r="FN48" s="253"/>
      <c r="FO48" s="253"/>
      <c r="FP48" s="253"/>
      <c r="FQ48" s="253"/>
      <c r="FR48" s="253"/>
      <c r="FS48" s="253"/>
      <c r="FT48" s="253"/>
      <c r="FU48" s="253"/>
      <c r="FV48" s="253"/>
      <c r="FW48" s="253"/>
      <c r="FX48" s="253"/>
      <c r="FY48" s="253"/>
      <c r="FZ48" s="253"/>
      <c r="GA48" s="253"/>
      <c r="GB48" s="253"/>
      <c r="GC48" s="253"/>
      <c r="GD48" s="253"/>
      <c r="GE48" s="253"/>
      <c r="GF48" s="253"/>
      <c r="GG48" s="253"/>
      <c r="GH48" s="253"/>
      <c r="GI48" s="253"/>
      <c r="GJ48" s="253"/>
      <c r="GK48" s="253"/>
      <c r="GL48" s="253"/>
      <c r="GM48" s="253"/>
      <c r="GN48" s="253"/>
      <c r="GO48" s="253"/>
      <c r="GP48" s="253"/>
      <c r="GQ48" s="253"/>
      <c r="GR48" s="253"/>
      <c r="GS48" s="253"/>
      <c r="GT48" s="253"/>
      <c r="GU48" s="253"/>
      <c r="GV48" s="253"/>
      <c r="GW48" s="253"/>
      <c r="GX48" s="253"/>
      <c r="GY48" s="253"/>
      <c r="GZ48" s="253"/>
      <c r="HA48" s="253"/>
      <c r="HB48" s="253"/>
      <c r="HC48" s="253"/>
      <c r="HD48" s="253"/>
      <c r="HE48" s="253"/>
      <c r="HF48" s="253"/>
      <c r="HG48" s="253"/>
      <c r="HH48" s="253"/>
      <c r="HI48" s="253"/>
      <c r="HJ48" s="253"/>
      <c r="HK48" s="253"/>
      <c r="HL48" s="253"/>
      <c r="HM48" s="253"/>
      <c r="HN48" s="253"/>
      <c r="HO48" s="253"/>
      <c r="HP48" s="253"/>
      <c r="HQ48" s="253"/>
      <c r="HR48" s="253"/>
      <c r="HS48" s="253"/>
      <c r="HT48" s="253"/>
      <c r="HU48" s="253"/>
      <c r="HV48" s="253"/>
      <c r="HW48" s="253"/>
      <c r="HX48" s="253"/>
      <c r="HY48" s="253"/>
      <c r="HZ48" s="253"/>
      <c r="IA48" s="253"/>
      <c r="IB48" s="253"/>
      <c r="IC48" s="253"/>
      <c r="ID48" s="253"/>
      <c r="IE48" s="253"/>
      <c r="IF48" s="253"/>
      <c r="IG48" s="253"/>
      <c r="IH48" s="253"/>
      <c r="II48" s="253"/>
      <c r="IJ48" s="253"/>
      <c r="IK48" s="253"/>
      <c r="IL48" s="253"/>
      <c r="IM48" s="253"/>
      <c r="IN48" s="253"/>
      <c r="IO48" s="253"/>
      <c r="IP48" s="253"/>
      <c r="IQ48" s="253"/>
      <c r="IR48" s="253"/>
      <c r="IS48" s="253"/>
      <c r="IT48" s="253"/>
      <c r="IU48" s="253"/>
      <c r="IV48" s="253"/>
    </row>
    <row r="49" spans="1:256" ht="12.75" customHeight="1">
      <c r="A49" s="337">
        <v>126</v>
      </c>
      <c r="B49" s="339" t="s">
        <v>194</v>
      </c>
      <c r="C49" s="392"/>
      <c r="D49" s="420"/>
      <c r="E49" s="337">
        <v>126</v>
      </c>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253"/>
      <c r="CC49" s="253"/>
      <c r="CD49" s="253"/>
      <c r="CE49" s="253"/>
      <c r="CF49" s="253"/>
      <c r="CG49" s="253"/>
      <c r="CH49" s="253"/>
      <c r="CI49" s="253"/>
      <c r="CJ49" s="253"/>
      <c r="CK49" s="253"/>
      <c r="CL49" s="253"/>
      <c r="CM49" s="253"/>
      <c r="CN49" s="253"/>
      <c r="CO49" s="253"/>
      <c r="CP49" s="253"/>
      <c r="CQ49" s="253"/>
      <c r="CR49" s="253"/>
      <c r="CS49" s="253"/>
      <c r="CT49" s="253"/>
      <c r="CU49" s="253"/>
      <c r="CV49" s="253"/>
      <c r="CW49" s="253"/>
      <c r="CX49" s="253"/>
      <c r="CY49" s="253"/>
      <c r="CZ49" s="253"/>
      <c r="DA49" s="253"/>
      <c r="DB49" s="253"/>
      <c r="DC49" s="253"/>
      <c r="DD49" s="253"/>
      <c r="DE49" s="253"/>
      <c r="DF49" s="253"/>
      <c r="DG49" s="253"/>
      <c r="DH49" s="253"/>
      <c r="DI49" s="253"/>
      <c r="DJ49" s="253"/>
      <c r="DK49" s="253"/>
      <c r="DL49" s="253"/>
      <c r="DM49" s="253"/>
      <c r="DN49" s="253"/>
      <c r="DO49" s="253"/>
      <c r="DP49" s="253"/>
      <c r="DQ49" s="253"/>
      <c r="DR49" s="253"/>
      <c r="DS49" s="253"/>
      <c r="DT49" s="253"/>
      <c r="DU49" s="253"/>
      <c r="DV49" s="253"/>
      <c r="DW49" s="253"/>
      <c r="DX49" s="253"/>
      <c r="DY49" s="253"/>
      <c r="DZ49" s="253"/>
      <c r="EA49" s="253"/>
      <c r="EB49" s="253"/>
      <c r="EC49" s="253"/>
      <c r="ED49" s="253"/>
      <c r="EE49" s="253"/>
      <c r="EF49" s="253"/>
      <c r="EG49" s="253"/>
      <c r="EH49" s="253"/>
      <c r="EI49" s="253"/>
      <c r="EJ49" s="253"/>
      <c r="EK49" s="253"/>
      <c r="EL49" s="253"/>
      <c r="EM49" s="253"/>
      <c r="EN49" s="253"/>
      <c r="EO49" s="253"/>
      <c r="EP49" s="253"/>
      <c r="EQ49" s="253"/>
      <c r="ER49" s="253"/>
      <c r="ES49" s="253"/>
      <c r="ET49" s="253"/>
      <c r="EU49" s="253"/>
      <c r="EV49" s="253"/>
      <c r="EW49" s="253"/>
      <c r="EX49" s="253"/>
      <c r="EY49" s="253"/>
      <c r="EZ49" s="253"/>
      <c r="FA49" s="253"/>
      <c r="FB49" s="253"/>
      <c r="FC49" s="253"/>
      <c r="FD49" s="253"/>
      <c r="FE49" s="253"/>
      <c r="FF49" s="253"/>
      <c r="FG49" s="253"/>
      <c r="FH49" s="253"/>
      <c r="FI49" s="253"/>
      <c r="FJ49" s="253"/>
      <c r="FK49" s="253"/>
      <c r="FL49" s="253"/>
      <c r="FM49" s="253"/>
      <c r="FN49" s="253"/>
      <c r="FO49" s="253"/>
      <c r="FP49" s="253"/>
      <c r="FQ49" s="253"/>
      <c r="FR49" s="253"/>
      <c r="FS49" s="253"/>
      <c r="FT49" s="253"/>
      <c r="FU49" s="253"/>
      <c r="FV49" s="253"/>
      <c r="FW49" s="253"/>
      <c r="FX49" s="253"/>
      <c r="FY49" s="253"/>
      <c r="FZ49" s="253"/>
      <c r="GA49" s="253"/>
      <c r="GB49" s="253"/>
      <c r="GC49" s="253"/>
      <c r="GD49" s="253"/>
      <c r="GE49" s="253"/>
      <c r="GF49" s="253"/>
      <c r="GG49" s="253"/>
      <c r="GH49" s="253"/>
      <c r="GI49" s="253"/>
      <c r="GJ49" s="253"/>
      <c r="GK49" s="253"/>
      <c r="GL49" s="253"/>
      <c r="GM49" s="253"/>
      <c r="GN49" s="253"/>
      <c r="GO49" s="253"/>
      <c r="GP49" s="253"/>
      <c r="GQ49" s="253"/>
      <c r="GR49" s="253"/>
      <c r="GS49" s="253"/>
      <c r="GT49" s="253"/>
      <c r="GU49" s="253"/>
      <c r="GV49" s="253"/>
      <c r="GW49" s="253"/>
      <c r="GX49" s="253"/>
      <c r="GY49" s="253"/>
      <c r="GZ49" s="253"/>
      <c r="HA49" s="253"/>
      <c r="HB49" s="253"/>
      <c r="HC49" s="253"/>
      <c r="HD49" s="253"/>
      <c r="HE49" s="253"/>
      <c r="HF49" s="253"/>
      <c r="HG49" s="253"/>
      <c r="HH49" s="253"/>
      <c r="HI49" s="253"/>
      <c r="HJ49" s="253"/>
      <c r="HK49" s="253"/>
      <c r="HL49" s="253"/>
      <c r="HM49" s="253"/>
      <c r="HN49" s="253"/>
      <c r="HO49" s="253"/>
      <c r="HP49" s="253"/>
      <c r="HQ49" s="253"/>
      <c r="HR49" s="253"/>
      <c r="HS49" s="253"/>
      <c r="HT49" s="253"/>
      <c r="HU49" s="253"/>
      <c r="HV49" s="253"/>
      <c r="HW49" s="253"/>
      <c r="HX49" s="253"/>
      <c r="HY49" s="253"/>
      <c r="HZ49" s="253"/>
      <c r="IA49" s="253"/>
      <c r="IB49" s="253"/>
      <c r="IC49" s="253"/>
      <c r="ID49" s="253"/>
      <c r="IE49" s="253"/>
      <c r="IF49" s="253"/>
      <c r="IG49" s="253"/>
      <c r="IH49" s="253"/>
      <c r="II49" s="253"/>
      <c r="IJ49" s="253"/>
      <c r="IK49" s="253"/>
      <c r="IL49" s="253"/>
      <c r="IM49" s="253"/>
      <c r="IN49" s="253"/>
      <c r="IO49" s="253"/>
      <c r="IP49" s="253"/>
      <c r="IQ49" s="253"/>
      <c r="IR49" s="253"/>
      <c r="IS49" s="253"/>
      <c r="IT49" s="253"/>
      <c r="IU49" s="253"/>
      <c r="IV49" s="253"/>
    </row>
    <row r="50" spans="1:256" ht="12.75" customHeight="1">
      <c r="A50" s="337">
        <v>127</v>
      </c>
      <c r="B50" s="339" t="s">
        <v>277</v>
      </c>
      <c r="C50" s="392"/>
      <c r="D50" s="420"/>
      <c r="E50" s="337">
        <v>127</v>
      </c>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3"/>
      <c r="CF50" s="253"/>
      <c r="CG50" s="253"/>
      <c r="CH50" s="253"/>
      <c r="CI50" s="253"/>
      <c r="CJ50" s="253"/>
      <c r="CK50" s="253"/>
      <c r="CL50" s="253"/>
      <c r="CM50" s="253"/>
      <c r="CN50" s="253"/>
      <c r="CO50" s="253"/>
      <c r="CP50" s="253"/>
      <c r="CQ50" s="253"/>
      <c r="CR50" s="253"/>
      <c r="CS50" s="253"/>
      <c r="CT50" s="253"/>
      <c r="CU50" s="253"/>
      <c r="CV50" s="253"/>
      <c r="CW50" s="253"/>
      <c r="CX50" s="253"/>
      <c r="CY50" s="253"/>
      <c r="CZ50" s="253"/>
      <c r="DA50" s="253"/>
      <c r="DB50" s="253"/>
      <c r="DC50" s="253"/>
      <c r="DD50" s="253"/>
      <c r="DE50" s="253"/>
      <c r="DF50" s="253"/>
      <c r="DG50" s="253"/>
      <c r="DH50" s="253"/>
      <c r="DI50" s="253"/>
      <c r="DJ50" s="253"/>
      <c r="DK50" s="253"/>
      <c r="DL50" s="253"/>
      <c r="DM50" s="253"/>
      <c r="DN50" s="253"/>
      <c r="DO50" s="253"/>
      <c r="DP50" s="253"/>
      <c r="DQ50" s="253"/>
      <c r="DR50" s="253"/>
      <c r="DS50" s="253"/>
      <c r="DT50" s="253"/>
      <c r="DU50" s="253"/>
      <c r="DV50" s="253"/>
      <c r="DW50" s="253"/>
      <c r="DX50" s="253"/>
      <c r="DY50" s="253"/>
      <c r="DZ50" s="253"/>
      <c r="EA50" s="253"/>
      <c r="EB50" s="253"/>
      <c r="EC50" s="253"/>
      <c r="ED50" s="253"/>
      <c r="EE50" s="253"/>
      <c r="EF50" s="253"/>
      <c r="EG50" s="253"/>
      <c r="EH50" s="253"/>
      <c r="EI50" s="253"/>
      <c r="EJ50" s="253"/>
      <c r="EK50" s="253"/>
      <c r="EL50" s="253"/>
      <c r="EM50" s="253"/>
      <c r="EN50" s="253"/>
      <c r="EO50" s="253"/>
      <c r="EP50" s="253"/>
      <c r="EQ50" s="253"/>
      <c r="ER50" s="253"/>
      <c r="ES50" s="253"/>
      <c r="ET50" s="253"/>
      <c r="EU50" s="253"/>
      <c r="EV50" s="253"/>
      <c r="EW50" s="253"/>
      <c r="EX50" s="253"/>
      <c r="EY50" s="253"/>
      <c r="EZ50" s="253"/>
      <c r="FA50" s="253"/>
      <c r="FB50" s="253"/>
      <c r="FC50" s="253"/>
      <c r="FD50" s="253"/>
      <c r="FE50" s="253"/>
      <c r="FF50" s="253"/>
      <c r="FG50" s="253"/>
      <c r="FH50" s="253"/>
      <c r="FI50" s="253"/>
      <c r="FJ50" s="253"/>
      <c r="FK50" s="253"/>
      <c r="FL50" s="253"/>
      <c r="FM50" s="253"/>
      <c r="FN50" s="253"/>
      <c r="FO50" s="253"/>
      <c r="FP50" s="253"/>
      <c r="FQ50" s="253"/>
      <c r="FR50" s="253"/>
      <c r="FS50" s="253"/>
      <c r="FT50" s="253"/>
      <c r="FU50" s="253"/>
      <c r="FV50" s="253"/>
      <c r="FW50" s="253"/>
      <c r="FX50" s="253"/>
      <c r="FY50" s="253"/>
      <c r="FZ50" s="253"/>
      <c r="GA50" s="253"/>
      <c r="GB50" s="253"/>
      <c r="GC50" s="253"/>
      <c r="GD50" s="253"/>
      <c r="GE50" s="253"/>
      <c r="GF50" s="253"/>
      <c r="GG50" s="253"/>
      <c r="GH50" s="253"/>
      <c r="GI50" s="253"/>
      <c r="GJ50" s="253"/>
      <c r="GK50" s="253"/>
      <c r="GL50" s="253"/>
      <c r="GM50" s="253"/>
      <c r="GN50" s="253"/>
      <c r="GO50" s="253"/>
      <c r="GP50" s="253"/>
      <c r="GQ50" s="253"/>
      <c r="GR50" s="253"/>
      <c r="GS50" s="253"/>
      <c r="GT50" s="253"/>
      <c r="GU50" s="253"/>
      <c r="GV50" s="253"/>
      <c r="GW50" s="253"/>
      <c r="GX50" s="253"/>
      <c r="GY50" s="253"/>
      <c r="GZ50" s="253"/>
      <c r="HA50" s="253"/>
      <c r="HB50" s="253"/>
      <c r="HC50" s="253"/>
      <c r="HD50" s="253"/>
      <c r="HE50" s="253"/>
      <c r="HF50" s="253"/>
      <c r="HG50" s="253"/>
      <c r="HH50" s="253"/>
      <c r="HI50" s="253"/>
      <c r="HJ50" s="253"/>
      <c r="HK50" s="253"/>
      <c r="HL50" s="253"/>
      <c r="HM50" s="253"/>
      <c r="HN50" s="253"/>
      <c r="HO50" s="253"/>
      <c r="HP50" s="253"/>
      <c r="HQ50" s="253"/>
      <c r="HR50" s="253"/>
      <c r="HS50" s="253"/>
      <c r="HT50" s="253"/>
      <c r="HU50" s="253"/>
      <c r="HV50" s="253"/>
      <c r="HW50" s="253"/>
      <c r="HX50" s="253"/>
      <c r="HY50" s="253"/>
      <c r="HZ50" s="253"/>
      <c r="IA50" s="253"/>
      <c r="IB50" s="253"/>
      <c r="IC50" s="253"/>
      <c r="ID50" s="253"/>
      <c r="IE50" s="253"/>
      <c r="IF50" s="253"/>
      <c r="IG50" s="253"/>
      <c r="IH50" s="253"/>
      <c r="II50" s="253"/>
      <c r="IJ50" s="253"/>
      <c r="IK50" s="253"/>
      <c r="IL50" s="253"/>
      <c r="IM50" s="253"/>
      <c r="IN50" s="253"/>
      <c r="IO50" s="253"/>
      <c r="IP50" s="253"/>
      <c r="IQ50" s="253"/>
      <c r="IR50" s="253"/>
      <c r="IS50" s="253"/>
      <c r="IT50" s="253"/>
      <c r="IU50" s="253"/>
      <c r="IV50" s="253"/>
    </row>
    <row r="51" spans="1:256" ht="12.75" customHeight="1" thickBot="1">
      <c r="A51" s="337">
        <v>128</v>
      </c>
      <c r="B51" s="339" t="s">
        <v>278</v>
      </c>
      <c r="C51" s="392"/>
      <c r="D51" s="420"/>
      <c r="E51" s="337">
        <v>128</v>
      </c>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J51" s="253"/>
      <c r="CK51" s="253"/>
      <c r="CL51" s="253"/>
      <c r="CM51" s="253"/>
      <c r="CN51" s="253"/>
      <c r="CO51" s="253"/>
      <c r="CP51" s="253"/>
      <c r="CQ51" s="253"/>
      <c r="CR51" s="253"/>
      <c r="CS51" s="253"/>
      <c r="CT51" s="253"/>
      <c r="CU51" s="253"/>
      <c r="CV51" s="253"/>
      <c r="CW51" s="253"/>
      <c r="CX51" s="253"/>
      <c r="CY51" s="253"/>
      <c r="CZ51" s="253"/>
      <c r="DA51" s="253"/>
      <c r="DB51" s="253"/>
      <c r="DC51" s="253"/>
      <c r="DD51" s="253"/>
      <c r="DE51" s="253"/>
      <c r="DF51" s="253"/>
      <c r="DG51" s="253"/>
      <c r="DH51" s="253"/>
      <c r="DI51" s="253"/>
      <c r="DJ51" s="253"/>
      <c r="DK51" s="253"/>
      <c r="DL51" s="253"/>
      <c r="DM51" s="253"/>
      <c r="DN51" s="253"/>
      <c r="DO51" s="253"/>
      <c r="DP51" s="253"/>
      <c r="DQ51" s="253"/>
      <c r="DR51" s="253"/>
      <c r="DS51" s="253"/>
      <c r="DT51" s="253"/>
      <c r="DU51" s="253"/>
      <c r="DV51" s="253"/>
      <c r="DW51" s="253"/>
      <c r="DX51" s="253"/>
      <c r="DY51" s="253"/>
      <c r="DZ51" s="253"/>
      <c r="EA51" s="253"/>
      <c r="EB51" s="253"/>
      <c r="EC51" s="253"/>
      <c r="ED51" s="253"/>
      <c r="EE51" s="253"/>
      <c r="EF51" s="253"/>
      <c r="EG51" s="253"/>
      <c r="EH51" s="253"/>
      <c r="EI51" s="253"/>
      <c r="EJ51" s="253"/>
      <c r="EK51" s="253"/>
      <c r="EL51" s="253"/>
      <c r="EM51" s="253"/>
      <c r="EN51" s="253"/>
      <c r="EO51" s="253"/>
      <c r="EP51" s="253"/>
      <c r="EQ51" s="253"/>
      <c r="ER51" s="253"/>
      <c r="ES51" s="253"/>
      <c r="ET51" s="253"/>
      <c r="EU51" s="253"/>
      <c r="EV51" s="253"/>
      <c r="EW51" s="253"/>
      <c r="EX51" s="253"/>
      <c r="EY51" s="253"/>
      <c r="EZ51" s="253"/>
      <c r="FA51" s="253"/>
      <c r="FB51" s="253"/>
      <c r="FC51" s="253"/>
      <c r="FD51" s="253"/>
      <c r="FE51" s="253"/>
      <c r="FF51" s="253"/>
      <c r="FG51" s="253"/>
      <c r="FH51" s="253"/>
      <c r="FI51" s="253"/>
      <c r="FJ51" s="253"/>
      <c r="FK51" s="253"/>
      <c r="FL51" s="253"/>
      <c r="FM51" s="253"/>
      <c r="FN51" s="253"/>
      <c r="FO51" s="253"/>
      <c r="FP51" s="253"/>
      <c r="FQ51" s="253"/>
      <c r="FR51" s="253"/>
      <c r="FS51" s="253"/>
      <c r="FT51" s="253"/>
      <c r="FU51" s="253"/>
      <c r="FV51" s="253"/>
      <c r="FW51" s="253"/>
      <c r="FX51" s="253"/>
      <c r="FY51" s="253"/>
      <c r="FZ51" s="253"/>
      <c r="GA51" s="253"/>
      <c r="GB51" s="253"/>
      <c r="GC51" s="253"/>
      <c r="GD51" s="253"/>
      <c r="GE51" s="253"/>
      <c r="GF51" s="253"/>
      <c r="GG51" s="253"/>
      <c r="GH51" s="253"/>
      <c r="GI51" s="253"/>
      <c r="GJ51" s="253"/>
      <c r="GK51" s="253"/>
      <c r="GL51" s="253"/>
      <c r="GM51" s="253"/>
      <c r="GN51" s="253"/>
      <c r="GO51" s="253"/>
      <c r="GP51" s="253"/>
      <c r="GQ51" s="253"/>
      <c r="GR51" s="253"/>
      <c r="GS51" s="253"/>
      <c r="GT51" s="253"/>
      <c r="GU51" s="253"/>
      <c r="GV51" s="253"/>
      <c r="GW51" s="253"/>
      <c r="GX51" s="253"/>
      <c r="GY51" s="253"/>
      <c r="GZ51" s="253"/>
      <c r="HA51" s="253"/>
      <c r="HB51" s="253"/>
      <c r="HC51" s="253"/>
      <c r="HD51" s="253"/>
      <c r="HE51" s="253"/>
      <c r="HF51" s="253"/>
      <c r="HG51" s="253"/>
      <c r="HH51" s="253"/>
      <c r="HI51" s="253"/>
      <c r="HJ51" s="253"/>
      <c r="HK51" s="253"/>
      <c r="HL51" s="253"/>
      <c r="HM51" s="253"/>
      <c r="HN51" s="253"/>
      <c r="HO51" s="253"/>
      <c r="HP51" s="253"/>
      <c r="HQ51" s="253"/>
      <c r="HR51" s="253"/>
      <c r="HS51" s="253"/>
      <c r="HT51" s="253"/>
      <c r="HU51" s="253"/>
      <c r="HV51" s="253"/>
      <c r="HW51" s="253"/>
      <c r="HX51" s="253"/>
      <c r="HY51" s="253"/>
      <c r="HZ51" s="253"/>
      <c r="IA51" s="253"/>
      <c r="IB51" s="253"/>
      <c r="IC51" s="253"/>
      <c r="ID51" s="253"/>
      <c r="IE51" s="253"/>
      <c r="IF51" s="253"/>
      <c r="IG51" s="253"/>
      <c r="IH51" s="253"/>
      <c r="II51" s="253"/>
      <c r="IJ51" s="253"/>
      <c r="IK51" s="253"/>
      <c r="IL51" s="253"/>
      <c r="IM51" s="253"/>
      <c r="IN51" s="253"/>
      <c r="IO51" s="253"/>
      <c r="IP51" s="253"/>
      <c r="IQ51" s="253"/>
      <c r="IR51" s="253"/>
      <c r="IS51" s="253"/>
      <c r="IT51" s="253"/>
      <c r="IU51" s="253"/>
      <c r="IV51" s="253"/>
    </row>
    <row r="52" spans="1:256" ht="12.75" customHeight="1">
      <c r="A52" s="337">
        <v>129</v>
      </c>
      <c r="B52" s="379" t="s">
        <v>195</v>
      </c>
      <c r="C52" s="392"/>
      <c r="D52" s="418">
        <f>SUM(D43:D51)</f>
        <v>0</v>
      </c>
      <c r="E52" s="337">
        <v>129</v>
      </c>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53"/>
      <c r="CH52" s="253"/>
      <c r="CI52" s="253"/>
      <c r="CJ52" s="253"/>
      <c r="CK52" s="253"/>
      <c r="CL52" s="253"/>
      <c r="CM52" s="253"/>
      <c r="CN52" s="253"/>
      <c r="CO52" s="253"/>
      <c r="CP52" s="253"/>
      <c r="CQ52" s="253"/>
      <c r="CR52" s="253"/>
      <c r="CS52" s="253"/>
      <c r="CT52" s="253"/>
      <c r="CU52" s="253"/>
      <c r="CV52" s="253"/>
      <c r="CW52" s="253"/>
      <c r="CX52" s="253"/>
      <c r="CY52" s="253"/>
      <c r="CZ52" s="253"/>
      <c r="DA52" s="253"/>
      <c r="DB52" s="253"/>
      <c r="DC52" s="253"/>
      <c r="DD52" s="253"/>
      <c r="DE52" s="253"/>
      <c r="DF52" s="253"/>
      <c r="DG52" s="253"/>
      <c r="DH52" s="253"/>
      <c r="DI52" s="253"/>
      <c r="DJ52" s="253"/>
      <c r="DK52" s="253"/>
      <c r="DL52" s="253"/>
      <c r="DM52" s="253"/>
      <c r="DN52" s="253"/>
      <c r="DO52" s="253"/>
      <c r="DP52" s="253"/>
      <c r="DQ52" s="253"/>
      <c r="DR52" s="253"/>
      <c r="DS52" s="253"/>
      <c r="DT52" s="253"/>
      <c r="DU52" s="253"/>
      <c r="DV52" s="253"/>
      <c r="DW52" s="253"/>
      <c r="DX52" s="253"/>
      <c r="DY52" s="253"/>
      <c r="DZ52" s="253"/>
      <c r="EA52" s="253"/>
      <c r="EB52" s="253"/>
      <c r="EC52" s="253"/>
      <c r="ED52" s="253"/>
      <c r="EE52" s="253"/>
      <c r="EF52" s="253"/>
      <c r="EG52" s="253"/>
      <c r="EH52" s="253"/>
      <c r="EI52" s="253"/>
      <c r="EJ52" s="253"/>
      <c r="EK52" s="253"/>
      <c r="EL52" s="253"/>
      <c r="EM52" s="253"/>
      <c r="EN52" s="253"/>
      <c r="EO52" s="253"/>
      <c r="EP52" s="253"/>
      <c r="EQ52" s="253"/>
      <c r="ER52" s="253"/>
      <c r="ES52" s="253"/>
      <c r="ET52" s="253"/>
      <c r="EU52" s="253"/>
      <c r="EV52" s="253"/>
      <c r="EW52" s="253"/>
      <c r="EX52" s="253"/>
      <c r="EY52" s="253"/>
      <c r="EZ52" s="253"/>
      <c r="FA52" s="253"/>
      <c r="FB52" s="253"/>
      <c r="FC52" s="253"/>
      <c r="FD52" s="253"/>
      <c r="FE52" s="253"/>
      <c r="FF52" s="253"/>
      <c r="FG52" s="253"/>
      <c r="FH52" s="253"/>
      <c r="FI52" s="253"/>
      <c r="FJ52" s="253"/>
      <c r="FK52" s="253"/>
      <c r="FL52" s="253"/>
      <c r="FM52" s="253"/>
      <c r="FN52" s="253"/>
      <c r="FO52" s="253"/>
      <c r="FP52" s="253"/>
      <c r="FQ52" s="253"/>
      <c r="FR52" s="253"/>
      <c r="FS52" s="253"/>
      <c r="FT52" s="253"/>
      <c r="FU52" s="253"/>
      <c r="FV52" s="253"/>
      <c r="FW52" s="253"/>
      <c r="FX52" s="253"/>
      <c r="FY52" s="253"/>
      <c r="FZ52" s="253"/>
      <c r="GA52" s="253"/>
      <c r="GB52" s="253"/>
      <c r="GC52" s="253"/>
      <c r="GD52" s="253"/>
      <c r="GE52" s="253"/>
      <c r="GF52" s="253"/>
      <c r="GG52" s="253"/>
      <c r="GH52" s="253"/>
      <c r="GI52" s="253"/>
      <c r="GJ52" s="253"/>
      <c r="GK52" s="253"/>
      <c r="GL52" s="253"/>
      <c r="GM52" s="253"/>
      <c r="GN52" s="253"/>
      <c r="GO52" s="253"/>
      <c r="GP52" s="253"/>
      <c r="GQ52" s="253"/>
      <c r="GR52" s="253"/>
      <c r="GS52" s="253"/>
      <c r="GT52" s="253"/>
      <c r="GU52" s="253"/>
      <c r="GV52" s="253"/>
      <c r="GW52" s="253"/>
      <c r="GX52" s="253"/>
      <c r="GY52" s="253"/>
      <c r="GZ52" s="253"/>
      <c r="HA52" s="253"/>
      <c r="HB52" s="253"/>
      <c r="HC52" s="253"/>
      <c r="HD52" s="253"/>
      <c r="HE52" s="253"/>
      <c r="HF52" s="253"/>
      <c r="HG52" s="253"/>
      <c r="HH52" s="253"/>
      <c r="HI52" s="253"/>
      <c r="HJ52" s="253"/>
      <c r="HK52" s="253"/>
      <c r="HL52" s="253"/>
      <c r="HM52" s="253"/>
      <c r="HN52" s="253"/>
      <c r="HO52" s="253"/>
      <c r="HP52" s="253"/>
      <c r="HQ52" s="253"/>
      <c r="HR52" s="253"/>
      <c r="HS52" s="253"/>
      <c r="HT52" s="253"/>
      <c r="HU52" s="253"/>
      <c r="HV52" s="253"/>
      <c r="HW52" s="253"/>
      <c r="HX52" s="253"/>
      <c r="HY52" s="253"/>
      <c r="HZ52" s="253"/>
      <c r="IA52" s="253"/>
      <c r="IB52" s="253"/>
      <c r="IC52" s="253"/>
      <c r="ID52" s="253"/>
      <c r="IE52" s="253"/>
      <c r="IF52" s="253"/>
      <c r="IG52" s="253"/>
      <c r="IH52" s="253"/>
      <c r="II52" s="253"/>
      <c r="IJ52" s="253"/>
      <c r="IK52" s="253"/>
      <c r="IL52" s="253"/>
      <c r="IM52" s="253"/>
      <c r="IN52" s="253"/>
      <c r="IO52" s="253"/>
      <c r="IP52" s="253"/>
      <c r="IQ52" s="253"/>
      <c r="IR52" s="253"/>
      <c r="IS52" s="253"/>
      <c r="IT52" s="253"/>
      <c r="IU52" s="253"/>
      <c r="IV52" s="253"/>
    </row>
    <row r="53" spans="1:256" ht="7.5" customHeight="1" thickBot="1">
      <c r="A53" s="353"/>
      <c r="B53" s="382"/>
      <c r="C53" s="400"/>
      <c r="D53" s="539"/>
      <c r="E53" s="3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253"/>
      <c r="CE53" s="253"/>
      <c r="CF53" s="253"/>
      <c r="CG53" s="253"/>
      <c r="CH53" s="253"/>
      <c r="CI53" s="253"/>
      <c r="CJ53" s="253"/>
      <c r="CK53" s="253"/>
      <c r="CL53" s="253"/>
      <c r="CM53" s="253"/>
      <c r="CN53" s="253"/>
      <c r="CO53" s="253"/>
      <c r="CP53" s="253"/>
      <c r="CQ53" s="253"/>
      <c r="CR53" s="253"/>
      <c r="CS53" s="253"/>
      <c r="CT53" s="253"/>
      <c r="CU53" s="253"/>
      <c r="CV53" s="253"/>
      <c r="CW53" s="253"/>
      <c r="CX53" s="253"/>
      <c r="CY53" s="253"/>
      <c r="CZ53" s="253"/>
      <c r="DA53" s="253"/>
      <c r="DB53" s="253"/>
      <c r="DC53" s="253"/>
      <c r="DD53" s="253"/>
      <c r="DE53" s="253"/>
      <c r="DF53" s="253"/>
      <c r="DG53" s="253"/>
      <c r="DH53" s="253"/>
      <c r="DI53" s="253"/>
      <c r="DJ53" s="253"/>
      <c r="DK53" s="253"/>
      <c r="DL53" s="253"/>
      <c r="DM53" s="253"/>
      <c r="DN53" s="253"/>
      <c r="DO53" s="253"/>
      <c r="DP53" s="253"/>
      <c r="DQ53" s="253"/>
      <c r="DR53" s="253"/>
      <c r="DS53" s="253"/>
      <c r="DT53" s="253"/>
      <c r="DU53" s="253"/>
      <c r="DV53" s="253"/>
      <c r="DW53" s="253"/>
      <c r="DX53" s="253"/>
      <c r="DY53" s="253"/>
      <c r="DZ53" s="253"/>
      <c r="EA53" s="253"/>
      <c r="EB53" s="253"/>
      <c r="EC53" s="253"/>
      <c r="ED53" s="253"/>
      <c r="EE53" s="253"/>
      <c r="EF53" s="253"/>
      <c r="EG53" s="253"/>
      <c r="EH53" s="253"/>
      <c r="EI53" s="253"/>
      <c r="EJ53" s="253"/>
      <c r="EK53" s="253"/>
      <c r="EL53" s="253"/>
      <c r="EM53" s="253"/>
      <c r="EN53" s="253"/>
      <c r="EO53" s="253"/>
      <c r="EP53" s="253"/>
      <c r="EQ53" s="253"/>
      <c r="ER53" s="253"/>
      <c r="ES53" s="253"/>
      <c r="ET53" s="253"/>
      <c r="EU53" s="253"/>
      <c r="EV53" s="253"/>
      <c r="EW53" s="253"/>
      <c r="EX53" s="253"/>
      <c r="EY53" s="253"/>
      <c r="EZ53" s="253"/>
      <c r="FA53" s="253"/>
      <c r="FB53" s="253"/>
      <c r="FC53" s="253"/>
      <c r="FD53" s="253"/>
      <c r="FE53" s="253"/>
      <c r="FF53" s="253"/>
      <c r="FG53" s="253"/>
      <c r="FH53" s="253"/>
      <c r="FI53" s="253"/>
      <c r="FJ53" s="253"/>
      <c r="FK53" s="253"/>
      <c r="FL53" s="253"/>
      <c r="FM53" s="253"/>
      <c r="FN53" s="253"/>
      <c r="FO53" s="253"/>
      <c r="FP53" s="253"/>
      <c r="FQ53" s="253"/>
      <c r="FR53" s="253"/>
      <c r="FS53" s="253"/>
      <c r="FT53" s="253"/>
      <c r="FU53" s="253"/>
      <c r="FV53" s="253"/>
      <c r="FW53" s="253"/>
      <c r="FX53" s="253"/>
      <c r="FY53" s="253"/>
      <c r="FZ53" s="253"/>
      <c r="GA53" s="253"/>
      <c r="GB53" s="253"/>
      <c r="GC53" s="253"/>
      <c r="GD53" s="253"/>
      <c r="GE53" s="253"/>
      <c r="GF53" s="253"/>
      <c r="GG53" s="253"/>
      <c r="GH53" s="253"/>
      <c r="GI53" s="253"/>
      <c r="GJ53" s="253"/>
      <c r="GK53" s="253"/>
      <c r="GL53" s="253"/>
      <c r="GM53" s="253"/>
      <c r="GN53" s="253"/>
      <c r="GO53" s="253"/>
      <c r="GP53" s="253"/>
      <c r="GQ53" s="253"/>
      <c r="GR53" s="253"/>
      <c r="GS53" s="253"/>
      <c r="GT53" s="253"/>
      <c r="GU53" s="253"/>
      <c r="GV53" s="253"/>
      <c r="GW53" s="253"/>
      <c r="GX53" s="253"/>
      <c r="GY53" s="253"/>
      <c r="GZ53" s="253"/>
      <c r="HA53" s="253"/>
      <c r="HB53" s="253"/>
      <c r="HC53" s="253"/>
      <c r="HD53" s="253"/>
      <c r="HE53" s="253"/>
      <c r="HF53" s="253"/>
      <c r="HG53" s="253"/>
      <c r="HH53" s="253"/>
      <c r="HI53" s="253"/>
      <c r="HJ53" s="253"/>
      <c r="HK53" s="253"/>
      <c r="HL53" s="253"/>
      <c r="HM53" s="253"/>
      <c r="HN53" s="253"/>
      <c r="HO53" s="253"/>
      <c r="HP53" s="253"/>
      <c r="HQ53" s="253"/>
      <c r="HR53" s="253"/>
      <c r="HS53" s="253"/>
      <c r="HT53" s="253"/>
      <c r="HU53" s="253"/>
      <c r="HV53" s="253"/>
      <c r="HW53" s="253"/>
      <c r="HX53" s="253"/>
      <c r="HY53" s="253"/>
      <c r="HZ53" s="253"/>
      <c r="IA53" s="253"/>
      <c r="IB53" s="253"/>
      <c r="IC53" s="253"/>
      <c r="ID53" s="253"/>
      <c r="IE53" s="253"/>
      <c r="IF53" s="253"/>
      <c r="IG53" s="253"/>
      <c r="IH53" s="253"/>
      <c r="II53" s="253"/>
      <c r="IJ53" s="253"/>
      <c r="IK53" s="253"/>
      <c r="IL53" s="253"/>
      <c r="IM53" s="253"/>
      <c r="IN53" s="253"/>
      <c r="IO53" s="253"/>
      <c r="IP53" s="253"/>
      <c r="IQ53" s="253"/>
      <c r="IR53" s="253"/>
      <c r="IS53" s="253"/>
      <c r="IT53" s="253"/>
      <c r="IU53" s="253"/>
      <c r="IV53" s="253"/>
    </row>
    <row r="54" spans="1:256" ht="18" customHeight="1" thickBot="1">
      <c r="A54" s="337">
        <v>130</v>
      </c>
      <c r="B54" s="401" t="s">
        <v>279</v>
      </c>
      <c r="C54" s="402" t="s">
        <v>280</v>
      </c>
      <c r="D54" s="403">
        <v>3782878.72</v>
      </c>
      <c r="E54" s="337">
        <v>130</v>
      </c>
      <c r="F54" s="253" t="s">
        <v>54</v>
      </c>
      <c r="G54" s="404">
        <v>0</v>
      </c>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J54" s="253"/>
      <c r="CK54" s="253"/>
      <c r="CL54" s="253"/>
      <c r="CM54" s="253"/>
      <c r="CN54" s="253"/>
      <c r="CO54" s="253"/>
      <c r="CP54" s="253"/>
      <c r="CQ54" s="253"/>
      <c r="CR54" s="253"/>
      <c r="CS54" s="253"/>
      <c r="CT54" s="253"/>
      <c r="CU54" s="253"/>
      <c r="CV54" s="253"/>
      <c r="CW54" s="253"/>
      <c r="CX54" s="253"/>
      <c r="CY54" s="253"/>
      <c r="CZ54" s="253"/>
      <c r="DA54" s="253"/>
      <c r="DB54" s="253"/>
      <c r="DC54" s="253"/>
      <c r="DD54" s="253"/>
      <c r="DE54" s="253"/>
      <c r="DF54" s="253"/>
      <c r="DG54" s="253"/>
      <c r="DH54" s="253"/>
      <c r="DI54" s="253"/>
      <c r="DJ54" s="253"/>
      <c r="DK54" s="253"/>
      <c r="DL54" s="253"/>
      <c r="DM54" s="253"/>
      <c r="DN54" s="253"/>
      <c r="DO54" s="253"/>
      <c r="DP54" s="253"/>
      <c r="DQ54" s="253"/>
      <c r="DR54" s="253"/>
      <c r="DS54" s="253"/>
      <c r="DT54" s="253"/>
      <c r="DU54" s="253"/>
      <c r="DV54" s="253"/>
      <c r="DW54" s="253"/>
      <c r="DX54" s="253"/>
      <c r="DY54" s="253"/>
      <c r="DZ54" s="253"/>
      <c r="EA54" s="253"/>
      <c r="EB54" s="253"/>
      <c r="EC54" s="253"/>
      <c r="ED54" s="253"/>
      <c r="EE54" s="253"/>
      <c r="EF54" s="253"/>
      <c r="EG54" s="253"/>
      <c r="EH54" s="253"/>
      <c r="EI54" s="253"/>
      <c r="EJ54" s="253"/>
      <c r="EK54" s="253"/>
      <c r="EL54" s="253"/>
      <c r="EM54" s="253"/>
      <c r="EN54" s="253"/>
      <c r="EO54" s="253"/>
      <c r="EP54" s="253"/>
      <c r="EQ54" s="253"/>
      <c r="ER54" s="253"/>
      <c r="ES54" s="253"/>
      <c r="ET54" s="253"/>
      <c r="EU54" s="253"/>
      <c r="EV54" s="253"/>
      <c r="EW54" s="253"/>
      <c r="EX54" s="253"/>
      <c r="EY54" s="253"/>
      <c r="EZ54" s="253"/>
      <c r="FA54" s="253"/>
      <c r="FB54" s="253"/>
      <c r="FC54" s="253"/>
      <c r="FD54" s="253"/>
      <c r="FE54" s="253"/>
      <c r="FF54" s="253"/>
      <c r="FG54" s="253"/>
      <c r="FH54" s="253"/>
      <c r="FI54" s="253"/>
      <c r="FJ54" s="253"/>
      <c r="FK54" s="253"/>
      <c r="FL54" s="253"/>
      <c r="FM54" s="253"/>
      <c r="FN54" s="253"/>
      <c r="FO54" s="253"/>
      <c r="FP54" s="253"/>
      <c r="FQ54" s="253"/>
      <c r="FR54" s="253"/>
      <c r="FS54" s="253"/>
      <c r="FT54" s="253"/>
      <c r="FU54" s="253"/>
      <c r="FV54" s="253"/>
      <c r="FW54" s="253"/>
      <c r="FX54" s="253"/>
      <c r="FY54" s="253"/>
      <c r="FZ54" s="253"/>
      <c r="GA54" s="253"/>
      <c r="GB54" s="253"/>
      <c r="GC54" s="253"/>
      <c r="GD54" s="253"/>
      <c r="GE54" s="253"/>
      <c r="GF54" s="253"/>
      <c r="GG54" s="253"/>
      <c r="GH54" s="253"/>
      <c r="GI54" s="253"/>
      <c r="GJ54" s="253"/>
      <c r="GK54" s="253"/>
      <c r="GL54" s="253"/>
      <c r="GM54" s="253"/>
      <c r="GN54" s="253"/>
      <c r="GO54" s="253"/>
      <c r="GP54" s="253"/>
      <c r="GQ54" s="253"/>
      <c r="GR54" s="253"/>
      <c r="GS54" s="253"/>
      <c r="GT54" s="253"/>
      <c r="GU54" s="253"/>
      <c r="GV54" s="253"/>
      <c r="GW54" s="253"/>
      <c r="GX54" s="253"/>
      <c r="GY54" s="253"/>
      <c r="GZ54" s="253"/>
      <c r="HA54" s="253"/>
      <c r="HB54" s="253"/>
      <c r="HC54" s="253"/>
      <c r="HD54" s="253"/>
      <c r="HE54" s="253"/>
      <c r="HF54" s="253"/>
      <c r="HG54" s="253"/>
      <c r="HH54" s="253"/>
      <c r="HI54" s="253"/>
      <c r="HJ54" s="253"/>
      <c r="HK54" s="253"/>
      <c r="HL54" s="253"/>
      <c r="HM54" s="253"/>
      <c r="HN54" s="253"/>
      <c r="HO54" s="253"/>
      <c r="HP54" s="253"/>
      <c r="HQ54" s="253"/>
      <c r="HR54" s="253"/>
      <c r="HS54" s="253"/>
      <c r="HT54" s="253"/>
      <c r="HU54" s="253"/>
      <c r="HV54" s="253"/>
      <c r="HW54" s="253"/>
      <c r="HX54" s="253"/>
      <c r="HY54" s="253"/>
      <c r="HZ54" s="253"/>
      <c r="IA54" s="253"/>
      <c r="IB54" s="253"/>
      <c r="IC54" s="253"/>
      <c r="ID54" s="253"/>
      <c r="IE54" s="253"/>
      <c r="IF54" s="253"/>
      <c r="IG54" s="253"/>
      <c r="IH54" s="253"/>
      <c r="II54" s="253"/>
      <c r="IJ54" s="253"/>
      <c r="IK54" s="253"/>
      <c r="IL54" s="253"/>
      <c r="IM54" s="253"/>
      <c r="IN54" s="253"/>
      <c r="IO54" s="253"/>
      <c r="IP54" s="253"/>
      <c r="IQ54" s="253"/>
      <c r="IR54" s="253"/>
      <c r="IS54" s="253"/>
      <c r="IT54" s="253"/>
      <c r="IU54" s="253"/>
      <c r="IV54" s="253"/>
    </row>
    <row r="55" spans="1:256" ht="12" customHeight="1" thickBot="1">
      <c r="A55" s="405" t="s">
        <v>439</v>
      </c>
      <c r="B55" s="406" t="s">
        <v>281</v>
      </c>
      <c r="C55" s="407" t="s">
        <v>282</v>
      </c>
      <c r="D55" s="408"/>
      <c r="E55" s="405" t="s">
        <v>439</v>
      </c>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c r="EI55" s="253"/>
      <c r="EJ55" s="253"/>
      <c r="EK55" s="253"/>
      <c r="EL55" s="253"/>
      <c r="EM55" s="253"/>
      <c r="EN55" s="253"/>
      <c r="EO55" s="253"/>
      <c r="EP55" s="253"/>
      <c r="EQ55" s="253"/>
      <c r="ER55" s="253"/>
      <c r="ES55" s="253"/>
      <c r="ET55" s="253"/>
      <c r="EU55" s="253"/>
      <c r="EV55" s="253"/>
      <c r="EW55" s="253"/>
      <c r="EX55" s="253"/>
      <c r="EY55" s="253"/>
      <c r="EZ55" s="253"/>
      <c r="FA55" s="253"/>
      <c r="FB55" s="253"/>
      <c r="FC55" s="253"/>
      <c r="FD55" s="253"/>
      <c r="FE55" s="253"/>
      <c r="FF55" s="253"/>
      <c r="FG55" s="253"/>
      <c r="FH55" s="253"/>
      <c r="FI55" s="253"/>
      <c r="FJ55" s="253"/>
      <c r="FK55" s="253"/>
      <c r="FL55" s="253"/>
      <c r="FM55" s="253"/>
      <c r="FN55" s="253"/>
      <c r="FO55" s="253"/>
      <c r="FP55" s="253"/>
      <c r="FQ55" s="253"/>
      <c r="FR55" s="253"/>
      <c r="FS55" s="253"/>
      <c r="FT55" s="253"/>
      <c r="FU55" s="253"/>
      <c r="FV55" s="253"/>
      <c r="FW55" s="253"/>
      <c r="FX55" s="253"/>
      <c r="FY55" s="253"/>
      <c r="FZ55" s="253"/>
      <c r="GA55" s="253"/>
      <c r="GB55" s="253"/>
      <c r="GC55" s="253"/>
      <c r="GD55" s="253"/>
      <c r="GE55" s="253"/>
      <c r="GF55" s="253"/>
      <c r="GG55" s="253"/>
      <c r="GH55" s="253"/>
      <c r="GI55" s="253"/>
      <c r="GJ55" s="253"/>
      <c r="GK55" s="253"/>
      <c r="GL55" s="253"/>
      <c r="GM55" s="253"/>
      <c r="GN55" s="253"/>
      <c r="GO55" s="253"/>
      <c r="GP55" s="253"/>
      <c r="GQ55" s="253"/>
      <c r="GR55" s="253"/>
      <c r="GS55" s="253"/>
      <c r="GT55" s="253"/>
      <c r="GU55" s="253"/>
      <c r="GV55" s="253"/>
      <c r="GW55" s="253"/>
      <c r="GX55" s="253"/>
      <c r="GY55" s="253"/>
      <c r="GZ55" s="253"/>
      <c r="HA55" s="253"/>
      <c r="HB55" s="253"/>
      <c r="HC55" s="253"/>
      <c r="HD55" s="253"/>
      <c r="HE55" s="253"/>
      <c r="HF55" s="253"/>
      <c r="HG55" s="253"/>
      <c r="HH55" s="253"/>
      <c r="HI55" s="253"/>
      <c r="HJ55" s="253"/>
      <c r="HK55" s="253"/>
      <c r="HL55" s="253"/>
      <c r="HM55" s="253"/>
      <c r="HN55" s="253"/>
      <c r="HO55" s="253"/>
      <c r="HP55" s="253"/>
      <c r="HQ55" s="253"/>
      <c r="HR55" s="253"/>
      <c r="HS55" s="253"/>
      <c r="HT55" s="253"/>
      <c r="HU55" s="253"/>
      <c r="HV55" s="253"/>
      <c r="HW55" s="253"/>
      <c r="HX55" s="253"/>
      <c r="HY55" s="253"/>
      <c r="HZ55" s="253"/>
      <c r="IA55" s="253"/>
      <c r="IB55" s="253"/>
      <c r="IC55" s="253"/>
      <c r="ID55" s="253"/>
      <c r="IE55" s="253"/>
      <c r="IF55" s="253"/>
      <c r="IG55" s="253"/>
      <c r="IH55" s="253"/>
      <c r="II55" s="253"/>
      <c r="IJ55" s="253"/>
      <c r="IK55" s="253"/>
      <c r="IL55" s="253"/>
      <c r="IM55" s="253"/>
      <c r="IN55" s="253"/>
      <c r="IO55" s="253"/>
      <c r="IP55" s="253"/>
      <c r="IQ55" s="253"/>
      <c r="IR55" s="253"/>
      <c r="IS55" s="253"/>
      <c r="IT55" s="253"/>
      <c r="IU55" s="253"/>
      <c r="IV55" s="253"/>
    </row>
    <row r="56" spans="1:256" ht="12" customHeight="1">
      <c r="A56" s="409"/>
      <c r="B56" s="410"/>
      <c r="C56" s="411"/>
      <c r="D56" s="399"/>
      <c r="E56" s="409"/>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c r="EI56" s="253"/>
      <c r="EJ56" s="253"/>
      <c r="EK56" s="253"/>
      <c r="EL56" s="253"/>
      <c r="EM56" s="253"/>
      <c r="EN56" s="253"/>
      <c r="EO56" s="253"/>
      <c r="EP56" s="253"/>
      <c r="EQ56" s="253"/>
      <c r="ER56" s="253"/>
      <c r="ES56" s="253"/>
      <c r="ET56" s="253"/>
      <c r="EU56" s="253"/>
      <c r="EV56" s="253"/>
      <c r="EW56" s="253"/>
      <c r="EX56" s="253"/>
      <c r="EY56" s="253"/>
      <c r="EZ56" s="253"/>
      <c r="FA56" s="253"/>
      <c r="FB56" s="253"/>
      <c r="FC56" s="253"/>
      <c r="FD56" s="253"/>
      <c r="FE56" s="253"/>
      <c r="FF56" s="253"/>
      <c r="FG56" s="253"/>
      <c r="FH56" s="253"/>
      <c r="FI56" s="253"/>
      <c r="FJ56" s="253"/>
      <c r="FK56" s="253"/>
      <c r="FL56" s="253"/>
      <c r="FM56" s="253"/>
      <c r="FN56" s="253"/>
      <c r="FO56" s="253"/>
      <c r="FP56" s="253"/>
      <c r="FQ56" s="253"/>
      <c r="FR56" s="253"/>
      <c r="FS56" s="253"/>
      <c r="FT56" s="253"/>
      <c r="FU56" s="253"/>
      <c r="FV56" s="253"/>
      <c r="FW56" s="253"/>
      <c r="FX56" s="253"/>
      <c r="FY56" s="253"/>
      <c r="FZ56" s="253"/>
      <c r="GA56" s="253"/>
      <c r="GB56" s="253"/>
      <c r="GC56" s="253"/>
      <c r="GD56" s="253"/>
      <c r="GE56" s="253"/>
      <c r="GF56" s="253"/>
      <c r="GG56" s="253"/>
      <c r="GH56" s="253"/>
      <c r="GI56" s="253"/>
      <c r="GJ56" s="253"/>
      <c r="GK56" s="253"/>
      <c r="GL56" s="253"/>
      <c r="GM56" s="253"/>
      <c r="GN56" s="253"/>
      <c r="GO56" s="253"/>
      <c r="GP56" s="253"/>
      <c r="GQ56" s="253"/>
      <c r="GR56" s="253"/>
      <c r="GS56" s="253"/>
      <c r="GT56" s="253"/>
      <c r="GU56" s="253"/>
      <c r="GV56" s="253"/>
      <c r="GW56" s="253"/>
      <c r="GX56" s="253"/>
      <c r="GY56" s="253"/>
      <c r="GZ56" s="253"/>
      <c r="HA56" s="253"/>
      <c r="HB56" s="253"/>
      <c r="HC56" s="253"/>
      <c r="HD56" s="253"/>
      <c r="HE56" s="253"/>
      <c r="HF56" s="253"/>
      <c r="HG56" s="253"/>
      <c r="HH56" s="253"/>
      <c r="HI56" s="253"/>
      <c r="HJ56" s="253"/>
      <c r="HK56" s="253"/>
      <c r="HL56" s="253"/>
      <c r="HM56" s="253"/>
      <c r="HN56" s="253"/>
      <c r="HO56" s="253"/>
      <c r="HP56" s="253"/>
      <c r="HQ56" s="253"/>
      <c r="HR56" s="253"/>
      <c r="HS56" s="253"/>
      <c r="HT56" s="253"/>
      <c r="HU56" s="253"/>
      <c r="HV56" s="253"/>
      <c r="HW56" s="253"/>
      <c r="HX56" s="253"/>
      <c r="HY56" s="253"/>
      <c r="HZ56" s="253"/>
      <c r="IA56" s="253"/>
      <c r="IB56" s="253"/>
      <c r="IC56" s="253"/>
      <c r="ID56" s="253"/>
      <c r="IE56" s="253"/>
      <c r="IF56" s="253"/>
      <c r="IG56" s="253"/>
      <c r="IH56" s="253"/>
      <c r="II56" s="253"/>
      <c r="IJ56" s="253"/>
      <c r="IK56" s="253"/>
      <c r="IL56" s="253"/>
      <c r="IM56" s="253"/>
      <c r="IN56" s="253"/>
      <c r="IO56" s="253"/>
      <c r="IP56" s="253"/>
      <c r="IQ56" s="253"/>
      <c r="IR56" s="253"/>
      <c r="IS56" s="253"/>
      <c r="IT56" s="253"/>
      <c r="IU56" s="253"/>
      <c r="IV56" s="253"/>
    </row>
    <row r="57" spans="1:256" ht="12.75" customHeight="1">
      <c r="A57" s="409"/>
      <c r="B57" s="412" t="s">
        <v>283</v>
      </c>
      <c r="C57" s="411"/>
      <c r="D57" s="399"/>
      <c r="E57" s="409"/>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3"/>
      <c r="BM57" s="253"/>
      <c r="BN57" s="253"/>
      <c r="BO57" s="253"/>
      <c r="BP57" s="253"/>
      <c r="BQ57" s="253"/>
      <c r="BR57" s="253"/>
      <c r="BS57" s="253"/>
      <c r="BT57" s="253"/>
      <c r="BU57" s="253"/>
      <c r="BV57" s="253"/>
      <c r="BW57" s="253"/>
      <c r="BX57" s="253"/>
      <c r="BY57" s="253"/>
      <c r="BZ57" s="253"/>
      <c r="CA57" s="253"/>
      <c r="CB57" s="253"/>
      <c r="CC57" s="253"/>
      <c r="CD57" s="253"/>
      <c r="CE57" s="253"/>
      <c r="CF57" s="253"/>
      <c r="CG57" s="253"/>
      <c r="CH57" s="253"/>
      <c r="CI57" s="253"/>
      <c r="CJ57" s="253"/>
      <c r="CK57" s="253"/>
      <c r="CL57" s="253"/>
      <c r="CM57" s="253"/>
      <c r="CN57" s="253"/>
      <c r="CO57" s="253"/>
      <c r="CP57" s="253"/>
      <c r="CQ57" s="253"/>
      <c r="CR57" s="253"/>
      <c r="CS57" s="253"/>
      <c r="CT57" s="253"/>
      <c r="CU57" s="253"/>
      <c r="CV57" s="253"/>
      <c r="CW57" s="253"/>
      <c r="CX57" s="253"/>
      <c r="CY57" s="253"/>
      <c r="CZ57" s="253"/>
      <c r="DA57" s="253"/>
      <c r="DB57" s="253"/>
      <c r="DC57" s="253"/>
      <c r="DD57" s="253"/>
      <c r="DE57" s="253"/>
      <c r="DF57" s="253"/>
      <c r="DG57" s="253"/>
      <c r="DH57" s="253"/>
      <c r="DI57" s="253"/>
      <c r="DJ57" s="253"/>
      <c r="DK57" s="253"/>
      <c r="DL57" s="253"/>
      <c r="DM57" s="253"/>
      <c r="DN57" s="253"/>
      <c r="DO57" s="253"/>
      <c r="DP57" s="253"/>
      <c r="DQ57" s="253"/>
      <c r="DR57" s="253"/>
      <c r="DS57" s="253"/>
      <c r="DT57" s="253"/>
      <c r="DU57" s="253"/>
      <c r="DV57" s="253"/>
      <c r="DW57" s="253"/>
      <c r="DX57" s="253"/>
      <c r="DY57" s="253"/>
      <c r="DZ57" s="253"/>
      <c r="EA57" s="253"/>
      <c r="EB57" s="253"/>
      <c r="EC57" s="253"/>
      <c r="ED57" s="253"/>
      <c r="EE57" s="253"/>
      <c r="EF57" s="253"/>
      <c r="EG57" s="253"/>
      <c r="EH57" s="253"/>
      <c r="EI57" s="253"/>
      <c r="EJ57" s="253"/>
      <c r="EK57" s="253"/>
      <c r="EL57" s="253"/>
      <c r="EM57" s="253"/>
      <c r="EN57" s="253"/>
      <c r="EO57" s="253"/>
      <c r="EP57" s="253"/>
      <c r="EQ57" s="253"/>
      <c r="ER57" s="253"/>
      <c r="ES57" s="253"/>
      <c r="ET57" s="253"/>
      <c r="EU57" s="253"/>
      <c r="EV57" s="253"/>
      <c r="EW57" s="253"/>
      <c r="EX57" s="253"/>
      <c r="EY57" s="253"/>
      <c r="EZ57" s="253"/>
      <c r="FA57" s="253"/>
      <c r="FB57" s="253"/>
      <c r="FC57" s="253"/>
      <c r="FD57" s="253"/>
      <c r="FE57" s="253"/>
      <c r="FF57" s="253"/>
      <c r="FG57" s="253"/>
      <c r="FH57" s="253"/>
      <c r="FI57" s="253"/>
      <c r="FJ57" s="253"/>
      <c r="FK57" s="253"/>
      <c r="FL57" s="253"/>
      <c r="FM57" s="253"/>
      <c r="FN57" s="253"/>
      <c r="FO57" s="253"/>
      <c r="FP57" s="253"/>
      <c r="FQ57" s="253"/>
      <c r="FR57" s="253"/>
      <c r="FS57" s="253"/>
      <c r="FT57" s="253"/>
      <c r="FU57" s="253"/>
      <c r="FV57" s="253"/>
      <c r="FW57" s="253"/>
      <c r="FX57" s="253"/>
      <c r="FY57" s="253"/>
      <c r="FZ57" s="253"/>
      <c r="GA57" s="253"/>
      <c r="GB57" s="253"/>
      <c r="GC57" s="253"/>
      <c r="GD57" s="253"/>
      <c r="GE57" s="253"/>
      <c r="GF57" s="253"/>
      <c r="GG57" s="253"/>
      <c r="GH57" s="253"/>
      <c r="GI57" s="253"/>
      <c r="GJ57" s="253"/>
      <c r="GK57" s="253"/>
      <c r="GL57" s="253"/>
      <c r="GM57" s="253"/>
      <c r="GN57" s="253"/>
      <c r="GO57" s="253"/>
      <c r="GP57" s="253"/>
      <c r="GQ57" s="253"/>
      <c r="GR57" s="253"/>
      <c r="GS57" s="253"/>
      <c r="GT57" s="253"/>
      <c r="GU57" s="253"/>
      <c r="GV57" s="253"/>
      <c r="GW57" s="253"/>
      <c r="GX57" s="253"/>
      <c r="GY57" s="253"/>
      <c r="GZ57" s="253"/>
      <c r="HA57" s="253"/>
      <c r="HB57" s="253"/>
      <c r="HC57" s="253"/>
      <c r="HD57" s="253"/>
      <c r="HE57" s="253"/>
      <c r="HF57" s="253"/>
      <c r="HG57" s="253"/>
      <c r="HH57" s="253"/>
      <c r="HI57" s="253"/>
      <c r="HJ57" s="253"/>
      <c r="HK57" s="253"/>
      <c r="HL57" s="253"/>
      <c r="HM57" s="253"/>
      <c r="HN57" s="253"/>
      <c r="HO57" s="253"/>
      <c r="HP57" s="253"/>
      <c r="HQ57" s="253"/>
      <c r="HR57" s="253"/>
      <c r="HS57" s="253"/>
      <c r="HT57" s="253"/>
      <c r="HU57" s="253"/>
      <c r="HV57" s="253"/>
      <c r="HW57" s="253"/>
      <c r="HX57" s="253"/>
      <c r="HY57" s="253"/>
      <c r="HZ57" s="253"/>
      <c r="IA57" s="253"/>
      <c r="IB57" s="253"/>
      <c r="IC57" s="253"/>
      <c r="ID57" s="253"/>
      <c r="IE57" s="253"/>
      <c r="IF57" s="253"/>
      <c r="IG57" s="253"/>
      <c r="IH57" s="253"/>
      <c r="II57" s="253"/>
      <c r="IJ57" s="253"/>
      <c r="IK57" s="253"/>
      <c r="IL57" s="253"/>
      <c r="IM57" s="253"/>
      <c r="IN57" s="253"/>
      <c r="IO57" s="253"/>
      <c r="IP57" s="253"/>
      <c r="IQ57" s="253"/>
      <c r="IR57" s="253"/>
      <c r="IS57" s="253"/>
      <c r="IT57" s="253"/>
      <c r="IU57" s="253"/>
      <c r="IV57" s="253"/>
    </row>
    <row r="58" spans="1:256" ht="12.75" customHeight="1">
      <c r="A58" s="409"/>
      <c r="B58" s="412" t="s">
        <v>187</v>
      </c>
      <c r="C58" s="411"/>
      <c r="D58" s="399"/>
      <c r="E58" s="409"/>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J58" s="253"/>
      <c r="CK58" s="253"/>
      <c r="CL58" s="253"/>
      <c r="CM58" s="253"/>
      <c r="CN58" s="253"/>
      <c r="CO58" s="253"/>
      <c r="CP58" s="253"/>
      <c r="CQ58" s="253"/>
      <c r="CR58" s="253"/>
      <c r="CS58" s="253"/>
      <c r="CT58" s="253"/>
      <c r="CU58" s="253"/>
      <c r="CV58" s="253"/>
      <c r="CW58" s="253"/>
      <c r="CX58" s="253"/>
      <c r="CY58" s="253"/>
      <c r="CZ58" s="253"/>
      <c r="DA58" s="253"/>
      <c r="DB58" s="253"/>
      <c r="DC58" s="253"/>
      <c r="DD58" s="253"/>
      <c r="DE58" s="253"/>
      <c r="DF58" s="253"/>
      <c r="DG58" s="253"/>
      <c r="DH58" s="253"/>
      <c r="DI58" s="253"/>
      <c r="DJ58" s="253"/>
      <c r="DK58" s="253"/>
      <c r="DL58" s="253"/>
      <c r="DM58" s="253"/>
      <c r="DN58" s="253"/>
      <c r="DO58" s="253"/>
      <c r="DP58" s="253"/>
      <c r="DQ58" s="253"/>
      <c r="DR58" s="253"/>
      <c r="DS58" s="253"/>
      <c r="DT58" s="253"/>
      <c r="DU58" s="253"/>
      <c r="DV58" s="253"/>
      <c r="DW58" s="253"/>
      <c r="DX58" s="253"/>
      <c r="DY58" s="253"/>
      <c r="DZ58" s="253"/>
      <c r="EA58" s="253"/>
      <c r="EB58" s="253"/>
      <c r="EC58" s="253"/>
      <c r="ED58" s="253"/>
      <c r="EE58" s="253"/>
      <c r="EF58" s="253"/>
      <c r="EG58" s="253"/>
      <c r="EH58" s="253"/>
      <c r="EI58" s="253"/>
      <c r="EJ58" s="253"/>
      <c r="EK58" s="253"/>
      <c r="EL58" s="253"/>
      <c r="EM58" s="253"/>
      <c r="EN58" s="253"/>
      <c r="EO58" s="253"/>
      <c r="EP58" s="253"/>
      <c r="EQ58" s="253"/>
      <c r="ER58" s="253"/>
      <c r="ES58" s="253"/>
      <c r="ET58" s="253"/>
      <c r="EU58" s="253"/>
      <c r="EV58" s="253"/>
      <c r="EW58" s="253"/>
      <c r="EX58" s="253"/>
      <c r="EY58" s="253"/>
      <c r="EZ58" s="253"/>
      <c r="FA58" s="253"/>
      <c r="FB58" s="253"/>
      <c r="FC58" s="253"/>
      <c r="FD58" s="253"/>
      <c r="FE58" s="253"/>
      <c r="FF58" s="253"/>
      <c r="FG58" s="253"/>
      <c r="FH58" s="253"/>
      <c r="FI58" s="253"/>
      <c r="FJ58" s="253"/>
      <c r="FK58" s="253"/>
      <c r="FL58" s="253"/>
      <c r="FM58" s="253"/>
      <c r="FN58" s="253"/>
      <c r="FO58" s="253"/>
      <c r="FP58" s="253"/>
      <c r="FQ58" s="253"/>
      <c r="FR58" s="253"/>
      <c r="FS58" s="253"/>
      <c r="FT58" s="253"/>
      <c r="FU58" s="253"/>
      <c r="FV58" s="253"/>
      <c r="FW58" s="253"/>
      <c r="FX58" s="253"/>
      <c r="FY58" s="253"/>
      <c r="FZ58" s="253"/>
      <c r="GA58" s="253"/>
      <c r="GB58" s="253"/>
      <c r="GC58" s="253"/>
      <c r="GD58" s="253"/>
      <c r="GE58" s="253"/>
      <c r="GF58" s="253"/>
      <c r="GG58" s="253"/>
      <c r="GH58" s="253"/>
      <c r="GI58" s="253"/>
      <c r="GJ58" s="253"/>
      <c r="GK58" s="253"/>
      <c r="GL58" s="253"/>
      <c r="GM58" s="253"/>
      <c r="GN58" s="253"/>
      <c r="GO58" s="253"/>
      <c r="GP58" s="253"/>
      <c r="GQ58" s="253"/>
      <c r="GR58" s="253"/>
      <c r="GS58" s="253"/>
      <c r="GT58" s="253"/>
      <c r="GU58" s="253"/>
      <c r="GV58" s="253"/>
      <c r="GW58" s="253"/>
      <c r="GX58" s="253"/>
      <c r="GY58" s="253"/>
      <c r="GZ58" s="253"/>
      <c r="HA58" s="253"/>
      <c r="HB58" s="253"/>
      <c r="HC58" s="253"/>
      <c r="HD58" s="253"/>
      <c r="HE58" s="253"/>
      <c r="HF58" s="253"/>
      <c r="HG58" s="253"/>
      <c r="HH58" s="253"/>
      <c r="HI58" s="253"/>
      <c r="HJ58" s="253"/>
      <c r="HK58" s="253"/>
      <c r="HL58" s="253"/>
      <c r="HM58" s="253"/>
      <c r="HN58" s="253"/>
      <c r="HO58" s="253"/>
      <c r="HP58" s="253"/>
      <c r="HQ58" s="253"/>
      <c r="HR58" s="253"/>
      <c r="HS58" s="253"/>
      <c r="HT58" s="253"/>
      <c r="HU58" s="253"/>
      <c r="HV58" s="253"/>
      <c r="HW58" s="253"/>
      <c r="HX58" s="253"/>
      <c r="HY58" s="253"/>
      <c r="HZ58" s="253"/>
      <c r="IA58" s="253"/>
      <c r="IB58" s="253"/>
      <c r="IC58" s="253"/>
      <c r="ID58" s="253"/>
      <c r="IE58" s="253"/>
      <c r="IF58" s="253"/>
      <c r="IG58" s="253"/>
      <c r="IH58" s="253"/>
      <c r="II58" s="253"/>
      <c r="IJ58" s="253"/>
      <c r="IK58" s="253"/>
      <c r="IL58" s="253"/>
      <c r="IM58" s="253"/>
      <c r="IN58" s="253"/>
      <c r="IO58" s="253"/>
      <c r="IP58" s="253"/>
      <c r="IQ58" s="253"/>
      <c r="IR58" s="253"/>
      <c r="IS58" s="253"/>
      <c r="IT58" s="253"/>
      <c r="IU58" s="253"/>
      <c r="IV58" s="253"/>
    </row>
    <row r="59" spans="1:256" ht="12.75" customHeight="1">
      <c r="A59" s="409"/>
      <c r="B59" s="410"/>
      <c r="C59" s="411"/>
      <c r="D59" s="399"/>
      <c r="E59" s="409"/>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253"/>
      <c r="CC59" s="253"/>
      <c r="CD59" s="253"/>
      <c r="CE59" s="253"/>
      <c r="CF59" s="253"/>
      <c r="CG59" s="253"/>
      <c r="CH59" s="253"/>
      <c r="CI59" s="253"/>
      <c r="CJ59" s="253"/>
      <c r="CK59" s="253"/>
      <c r="CL59" s="253"/>
      <c r="CM59" s="253"/>
      <c r="CN59" s="253"/>
      <c r="CO59" s="253"/>
      <c r="CP59" s="253"/>
      <c r="CQ59" s="253"/>
      <c r="CR59" s="253"/>
      <c r="CS59" s="253"/>
      <c r="CT59" s="253"/>
      <c r="CU59" s="253"/>
      <c r="CV59" s="253"/>
      <c r="CW59" s="253"/>
      <c r="CX59" s="253"/>
      <c r="CY59" s="253"/>
      <c r="CZ59" s="253"/>
      <c r="DA59" s="253"/>
      <c r="DB59" s="253"/>
      <c r="DC59" s="253"/>
      <c r="DD59" s="253"/>
      <c r="DE59" s="253"/>
      <c r="DF59" s="253"/>
      <c r="DG59" s="253"/>
      <c r="DH59" s="253"/>
      <c r="DI59" s="253"/>
      <c r="DJ59" s="253"/>
      <c r="DK59" s="253"/>
      <c r="DL59" s="253"/>
      <c r="DM59" s="253"/>
      <c r="DN59" s="253"/>
      <c r="DO59" s="253"/>
      <c r="DP59" s="253"/>
      <c r="DQ59" s="253"/>
      <c r="DR59" s="253"/>
      <c r="DS59" s="253"/>
      <c r="DT59" s="253"/>
      <c r="DU59" s="253"/>
      <c r="DV59" s="253"/>
      <c r="DW59" s="253"/>
      <c r="DX59" s="253"/>
      <c r="DY59" s="253"/>
      <c r="DZ59" s="253"/>
      <c r="EA59" s="253"/>
      <c r="EB59" s="253"/>
      <c r="EC59" s="253"/>
      <c r="ED59" s="253"/>
      <c r="EE59" s="253"/>
      <c r="EF59" s="253"/>
      <c r="EG59" s="253"/>
      <c r="EH59" s="253"/>
      <c r="EI59" s="253"/>
      <c r="EJ59" s="253"/>
      <c r="EK59" s="253"/>
      <c r="EL59" s="253"/>
      <c r="EM59" s="253"/>
      <c r="EN59" s="253"/>
      <c r="EO59" s="253"/>
      <c r="EP59" s="253"/>
      <c r="EQ59" s="253"/>
      <c r="ER59" s="253"/>
      <c r="ES59" s="253"/>
      <c r="ET59" s="253"/>
      <c r="EU59" s="253"/>
      <c r="EV59" s="253"/>
      <c r="EW59" s="253"/>
      <c r="EX59" s="253"/>
      <c r="EY59" s="253"/>
      <c r="EZ59" s="253"/>
      <c r="FA59" s="253"/>
      <c r="FB59" s="253"/>
      <c r="FC59" s="253"/>
      <c r="FD59" s="253"/>
      <c r="FE59" s="253"/>
      <c r="FF59" s="253"/>
      <c r="FG59" s="253"/>
      <c r="FH59" s="253"/>
      <c r="FI59" s="253"/>
      <c r="FJ59" s="253"/>
      <c r="FK59" s="253"/>
      <c r="FL59" s="253"/>
      <c r="FM59" s="253"/>
      <c r="FN59" s="253"/>
      <c r="FO59" s="253"/>
      <c r="FP59" s="253"/>
      <c r="FQ59" s="253"/>
      <c r="FR59" s="253"/>
      <c r="FS59" s="253"/>
      <c r="FT59" s="253"/>
      <c r="FU59" s="253"/>
      <c r="FV59" s="253"/>
      <c r="FW59" s="253"/>
      <c r="FX59" s="253"/>
      <c r="FY59" s="253"/>
      <c r="FZ59" s="253"/>
      <c r="GA59" s="253"/>
      <c r="GB59" s="253"/>
      <c r="GC59" s="253"/>
      <c r="GD59" s="253"/>
      <c r="GE59" s="253"/>
      <c r="GF59" s="253"/>
      <c r="GG59" s="253"/>
      <c r="GH59" s="253"/>
      <c r="GI59" s="253"/>
      <c r="GJ59" s="253"/>
      <c r="GK59" s="253"/>
      <c r="GL59" s="253"/>
      <c r="GM59" s="253"/>
      <c r="GN59" s="253"/>
      <c r="GO59" s="253"/>
      <c r="GP59" s="253"/>
      <c r="GQ59" s="253"/>
      <c r="GR59" s="253"/>
      <c r="GS59" s="253"/>
      <c r="GT59" s="253"/>
      <c r="GU59" s="253"/>
      <c r="GV59" s="253"/>
      <c r="GW59" s="253"/>
      <c r="GX59" s="253"/>
      <c r="GY59" s="253"/>
      <c r="GZ59" s="253"/>
      <c r="HA59" s="253"/>
      <c r="HB59" s="253"/>
      <c r="HC59" s="253"/>
      <c r="HD59" s="253"/>
      <c r="HE59" s="253"/>
      <c r="HF59" s="253"/>
      <c r="HG59" s="253"/>
      <c r="HH59" s="253"/>
      <c r="HI59" s="253"/>
      <c r="HJ59" s="253"/>
      <c r="HK59" s="253"/>
      <c r="HL59" s="253"/>
      <c r="HM59" s="253"/>
      <c r="HN59" s="253"/>
      <c r="HO59" s="253"/>
      <c r="HP59" s="253"/>
      <c r="HQ59" s="253"/>
      <c r="HR59" s="253"/>
      <c r="HS59" s="253"/>
      <c r="HT59" s="253"/>
      <c r="HU59" s="253"/>
      <c r="HV59" s="253"/>
      <c r="HW59" s="253"/>
      <c r="HX59" s="253"/>
      <c r="HY59" s="253"/>
      <c r="HZ59" s="253"/>
      <c r="IA59" s="253"/>
      <c r="IB59" s="253"/>
      <c r="IC59" s="253"/>
      <c r="ID59" s="253"/>
      <c r="IE59" s="253"/>
      <c r="IF59" s="253"/>
      <c r="IG59" s="253"/>
      <c r="IH59" s="253"/>
      <c r="II59" s="253"/>
      <c r="IJ59" s="253"/>
      <c r="IK59" s="253"/>
      <c r="IL59" s="253"/>
      <c r="IM59" s="253"/>
      <c r="IN59" s="253"/>
      <c r="IO59" s="253"/>
      <c r="IP59" s="253"/>
      <c r="IQ59" s="253"/>
      <c r="IR59" s="253"/>
      <c r="IS59" s="253"/>
      <c r="IT59" s="253"/>
      <c r="IU59" s="253"/>
      <c r="IV59" s="253"/>
    </row>
    <row r="60" spans="1:256" ht="17.25" customHeight="1">
      <c r="A60" s="368" t="s">
        <v>188</v>
      </c>
      <c r="B60" s="369"/>
      <c r="C60" s="326"/>
      <c r="D60" s="326"/>
      <c r="E60" s="326"/>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253"/>
      <c r="BO60" s="253"/>
      <c r="BP60" s="253"/>
      <c r="BQ60" s="253"/>
      <c r="BR60" s="253"/>
      <c r="BS60" s="253"/>
      <c r="BT60" s="253"/>
      <c r="BU60" s="253"/>
      <c r="BV60" s="253"/>
      <c r="BW60" s="253"/>
      <c r="BX60" s="253"/>
      <c r="BY60" s="253"/>
      <c r="BZ60" s="253"/>
      <c r="CA60" s="253"/>
      <c r="CB60" s="253"/>
      <c r="CC60" s="253"/>
      <c r="CD60" s="253"/>
      <c r="CE60" s="253"/>
      <c r="CF60" s="253"/>
      <c r="CG60" s="253"/>
      <c r="CH60" s="253"/>
      <c r="CI60" s="253"/>
      <c r="CJ60" s="253"/>
      <c r="CK60" s="253"/>
      <c r="CL60" s="253"/>
      <c r="CM60" s="253"/>
      <c r="CN60" s="253"/>
      <c r="CO60" s="253"/>
      <c r="CP60" s="253"/>
      <c r="CQ60" s="253"/>
      <c r="CR60" s="253"/>
      <c r="CS60" s="253"/>
      <c r="CT60" s="253"/>
      <c r="CU60" s="253"/>
      <c r="CV60" s="253"/>
      <c r="CW60" s="253"/>
      <c r="CX60" s="253"/>
      <c r="CY60" s="253"/>
      <c r="CZ60" s="253"/>
      <c r="DA60" s="253"/>
      <c r="DB60" s="253"/>
      <c r="DC60" s="253"/>
      <c r="DD60" s="253"/>
      <c r="DE60" s="253"/>
      <c r="DF60" s="253"/>
      <c r="DG60" s="253"/>
      <c r="DH60" s="253"/>
      <c r="DI60" s="253"/>
      <c r="DJ60" s="253"/>
      <c r="DK60" s="253"/>
      <c r="DL60" s="253"/>
      <c r="DM60" s="253"/>
      <c r="DN60" s="253"/>
      <c r="DO60" s="253"/>
      <c r="DP60" s="253"/>
      <c r="DQ60" s="253"/>
      <c r="DR60" s="253"/>
      <c r="DS60" s="253"/>
      <c r="DT60" s="253"/>
      <c r="DU60" s="253"/>
      <c r="DV60" s="253"/>
      <c r="DW60" s="253"/>
      <c r="DX60" s="253"/>
      <c r="DY60" s="253"/>
      <c r="DZ60" s="253"/>
      <c r="EA60" s="253"/>
      <c r="EB60" s="253"/>
      <c r="EC60" s="253"/>
      <c r="ED60" s="253"/>
      <c r="EE60" s="253"/>
      <c r="EF60" s="253"/>
      <c r="EG60" s="253"/>
      <c r="EH60" s="253"/>
      <c r="EI60" s="253"/>
      <c r="EJ60" s="253"/>
      <c r="EK60" s="253"/>
      <c r="EL60" s="253"/>
      <c r="EM60" s="253"/>
      <c r="EN60" s="253"/>
      <c r="EO60" s="253"/>
      <c r="EP60" s="253"/>
      <c r="EQ60" s="253"/>
      <c r="ER60" s="253"/>
      <c r="ES60" s="253"/>
      <c r="ET60" s="253"/>
      <c r="EU60" s="253"/>
      <c r="EV60" s="253"/>
      <c r="EW60" s="253"/>
      <c r="EX60" s="253"/>
      <c r="EY60" s="253"/>
      <c r="EZ60" s="253"/>
      <c r="FA60" s="253"/>
      <c r="FB60" s="253"/>
      <c r="FC60" s="253"/>
      <c r="FD60" s="253"/>
      <c r="FE60" s="253"/>
      <c r="FF60" s="253"/>
      <c r="FG60" s="253"/>
      <c r="FH60" s="253"/>
      <c r="FI60" s="253"/>
      <c r="FJ60" s="253"/>
      <c r="FK60" s="253"/>
      <c r="FL60" s="253"/>
      <c r="FM60" s="253"/>
      <c r="FN60" s="253"/>
      <c r="FO60" s="253"/>
      <c r="FP60" s="253"/>
      <c r="FQ60" s="253"/>
      <c r="FR60" s="253"/>
      <c r="FS60" s="253"/>
      <c r="FT60" s="253"/>
      <c r="FU60" s="253"/>
      <c r="FV60" s="253"/>
      <c r="FW60" s="253"/>
      <c r="FX60" s="253"/>
      <c r="FY60" s="253"/>
      <c r="FZ60" s="253"/>
      <c r="GA60" s="253"/>
      <c r="GB60" s="253"/>
      <c r="GC60" s="253"/>
      <c r="GD60" s="253"/>
      <c r="GE60" s="253"/>
      <c r="GF60" s="253"/>
      <c r="GG60" s="253"/>
      <c r="GH60" s="253"/>
      <c r="GI60" s="253"/>
      <c r="GJ60" s="253"/>
      <c r="GK60" s="253"/>
      <c r="GL60" s="253"/>
      <c r="GM60" s="253"/>
      <c r="GN60" s="253"/>
      <c r="GO60" s="253"/>
      <c r="GP60" s="253"/>
      <c r="GQ60" s="253"/>
      <c r="GR60" s="253"/>
      <c r="GS60" s="253"/>
      <c r="GT60" s="253"/>
      <c r="GU60" s="253"/>
      <c r="GV60" s="253"/>
      <c r="GW60" s="253"/>
      <c r="GX60" s="253"/>
      <c r="GY60" s="253"/>
      <c r="GZ60" s="253"/>
      <c r="HA60" s="253"/>
      <c r="HB60" s="253"/>
      <c r="HC60" s="253"/>
      <c r="HD60" s="253"/>
      <c r="HE60" s="253"/>
      <c r="HF60" s="253"/>
      <c r="HG60" s="253"/>
      <c r="HH60" s="253"/>
      <c r="HI60" s="253"/>
      <c r="HJ60" s="253"/>
      <c r="HK60" s="253"/>
      <c r="HL60" s="253"/>
      <c r="HM60" s="253"/>
      <c r="HN60" s="253"/>
      <c r="HO60" s="253"/>
      <c r="HP60" s="253"/>
      <c r="HQ60" s="253"/>
      <c r="HR60" s="253"/>
      <c r="HS60" s="253"/>
      <c r="HT60" s="253"/>
      <c r="HU60" s="253"/>
      <c r="HV60" s="253"/>
      <c r="HW60" s="253"/>
      <c r="HX60" s="253"/>
      <c r="HY60" s="253"/>
      <c r="HZ60" s="253"/>
      <c r="IA60" s="253"/>
      <c r="IB60" s="253"/>
      <c r="IC60" s="253"/>
      <c r="ID60" s="253"/>
      <c r="IE60" s="253"/>
      <c r="IF60" s="253"/>
      <c r="IG60" s="253"/>
      <c r="IH60" s="253"/>
      <c r="II60" s="253"/>
      <c r="IJ60" s="253"/>
      <c r="IK60" s="253"/>
      <c r="IL60" s="253"/>
      <c r="IM60" s="253"/>
      <c r="IN60" s="253"/>
      <c r="IO60" s="253"/>
      <c r="IP60" s="253"/>
      <c r="IQ60" s="253"/>
      <c r="IR60" s="253"/>
      <c r="IS60" s="253"/>
      <c r="IT60" s="253"/>
      <c r="IU60" s="253"/>
      <c r="IV60" s="253"/>
    </row>
    <row r="64" ht="12.75">
      <c r="B64" s="372"/>
    </row>
  </sheetData>
  <printOptions/>
  <pageMargins left="0.52" right="0.54" top="0.4" bottom="0" header="0.64" footer="0.3"/>
  <pageSetup horizontalDpi="300" verticalDpi="300" orientation="portrait" r:id="rId1"/>
</worksheet>
</file>

<file path=xl/worksheets/sheet19.xml><?xml version="1.0" encoding="utf-8"?>
<worksheet xmlns="http://schemas.openxmlformats.org/spreadsheetml/2006/main" xmlns:r="http://schemas.openxmlformats.org/officeDocument/2006/relationships">
  <sheetPr codeName="Sheet19">
    <tabColor indexed="43"/>
    <outlinePr summaryBelow="0" summaryRight="0"/>
  </sheetPr>
  <dimension ref="A1:J68"/>
  <sheetViews>
    <sheetView showOutlineSymbols="0" zoomScale="75" zoomScaleNormal="75" workbookViewId="0" topLeftCell="A1">
      <selection activeCell="A1" sqref="A1"/>
    </sheetView>
  </sheetViews>
  <sheetFormatPr defaultColWidth="9.140625" defaultRowHeight="12.75"/>
  <cols>
    <col min="1" max="1" width="5.00390625" style="253" customWidth="1"/>
    <col min="2" max="2" width="35.00390625" style="253" customWidth="1"/>
    <col min="3" max="4" width="12.140625" style="253" customWidth="1"/>
    <col min="5" max="5" width="11.8515625" style="253" customWidth="1"/>
    <col min="6" max="6" width="12.421875" style="253" customWidth="1"/>
    <col min="7" max="7" width="5.00390625" style="253" customWidth="1"/>
    <col min="8" max="8" width="4.421875" style="253" customWidth="1"/>
    <col min="9" max="16384" width="9.140625" style="253" customWidth="1"/>
  </cols>
  <sheetData>
    <row r="1" ht="13.5">
      <c r="A1" s="252" t="s">
        <v>53</v>
      </c>
    </row>
    <row r="2" ht="9.75" customHeight="1"/>
    <row r="3" spans="1:7" ht="16.5" customHeight="1">
      <c r="A3" s="254" t="s">
        <v>350</v>
      </c>
      <c r="B3" s="255"/>
      <c r="C3" s="256"/>
      <c r="D3" s="256"/>
      <c r="E3" s="256"/>
      <c r="F3" s="256"/>
      <c r="G3" s="256"/>
    </row>
    <row r="4" spans="1:7" ht="12.75">
      <c r="A4" s="257" t="s">
        <v>351</v>
      </c>
      <c r="B4" s="255"/>
      <c r="C4" s="258"/>
      <c r="D4" s="258"/>
      <c r="E4" s="256"/>
      <c r="F4" s="256"/>
      <c r="G4" s="256"/>
    </row>
    <row r="5" spans="1:7" ht="3" customHeight="1" thickBot="1">
      <c r="A5" s="259"/>
      <c r="B5" s="260"/>
      <c r="C5" s="261"/>
      <c r="D5" s="261"/>
      <c r="E5" s="261"/>
      <c r="F5" s="261"/>
      <c r="G5" s="261"/>
    </row>
    <row r="6" spans="1:7" ht="12.75">
      <c r="A6" s="262" t="s">
        <v>486</v>
      </c>
      <c r="B6" s="263" t="s">
        <v>352</v>
      </c>
      <c r="C6" s="262" t="s">
        <v>353</v>
      </c>
      <c r="D6" s="262" t="s">
        <v>354</v>
      </c>
      <c r="E6" s="262" t="s">
        <v>355</v>
      </c>
      <c r="F6" s="262" t="s">
        <v>356</v>
      </c>
      <c r="G6" s="262" t="s">
        <v>486</v>
      </c>
    </row>
    <row r="7" spans="1:7" ht="12.75">
      <c r="A7" s="264" t="s">
        <v>552</v>
      </c>
      <c r="B7" s="265" t="s">
        <v>357</v>
      </c>
      <c r="C7" s="264" t="s">
        <v>358</v>
      </c>
      <c r="D7" s="264" t="s">
        <v>359</v>
      </c>
      <c r="E7" s="264" t="s">
        <v>499</v>
      </c>
      <c r="F7" s="264" t="s">
        <v>358</v>
      </c>
      <c r="G7" s="264" t="s">
        <v>552</v>
      </c>
    </row>
    <row r="8" spans="1:7" ht="13.5" thickBot="1">
      <c r="A8" s="266"/>
      <c r="B8" s="267" t="s">
        <v>360</v>
      </c>
      <c r="C8" s="266" t="s">
        <v>361</v>
      </c>
      <c r="D8" s="266" t="s">
        <v>362</v>
      </c>
      <c r="E8" s="266" t="s">
        <v>363</v>
      </c>
      <c r="F8" s="266" t="s">
        <v>364</v>
      </c>
      <c r="G8" s="266"/>
    </row>
    <row r="9" spans="1:7" ht="13.5" thickBot="1">
      <c r="A9" s="268">
        <v>1</v>
      </c>
      <c r="B9" s="269" t="s">
        <v>365</v>
      </c>
      <c r="C9" s="270">
        <v>300</v>
      </c>
      <c r="D9" s="270">
        <v>0</v>
      </c>
      <c r="E9" s="270">
        <v>0</v>
      </c>
      <c r="F9" s="271">
        <f>C9+D9-E9</f>
        <v>300</v>
      </c>
      <c r="G9" s="268">
        <v>1</v>
      </c>
    </row>
    <row r="10" spans="1:7" ht="12.75">
      <c r="A10" s="272">
        <f>1+A9</f>
        <v>2</v>
      </c>
      <c r="B10" s="273" t="s">
        <v>366</v>
      </c>
      <c r="C10" s="274">
        <v>0</v>
      </c>
      <c r="D10" s="274">
        <v>0</v>
      </c>
      <c r="E10" s="274">
        <v>0</v>
      </c>
      <c r="F10" s="271">
        <f>C10+D10-E10</f>
        <v>0</v>
      </c>
      <c r="G10" s="272">
        <f>1+G9</f>
        <v>2</v>
      </c>
    </row>
    <row r="11" spans="1:7" ht="15" customHeight="1" thickBot="1">
      <c r="A11" s="275" t="s">
        <v>439</v>
      </c>
      <c r="B11" s="276" t="s">
        <v>367</v>
      </c>
      <c r="C11" s="277"/>
      <c r="D11" s="278"/>
      <c r="E11" s="278"/>
      <c r="F11" s="278"/>
      <c r="G11" s="275" t="s">
        <v>439</v>
      </c>
    </row>
    <row r="12" spans="1:7" ht="12.75">
      <c r="A12" s="279">
        <v>3</v>
      </c>
      <c r="B12" s="280" t="s">
        <v>368</v>
      </c>
      <c r="C12" s="281">
        <v>0</v>
      </c>
      <c r="D12" s="281">
        <v>0</v>
      </c>
      <c r="E12" s="281">
        <v>0</v>
      </c>
      <c r="F12" s="271">
        <f aca="true" t="shared" si="0" ref="F12:F30">C12+D12-E12</f>
        <v>0</v>
      </c>
      <c r="G12" s="279">
        <v>3</v>
      </c>
    </row>
    <row r="13" spans="1:7" ht="12.75">
      <c r="A13" s="279">
        <f aca="true" t="shared" si="1" ref="A13:A29">A12+1</f>
        <v>4</v>
      </c>
      <c r="B13" s="280" t="s">
        <v>369</v>
      </c>
      <c r="C13" s="282"/>
      <c r="D13" s="282"/>
      <c r="E13" s="282"/>
      <c r="F13" s="283">
        <f t="shared" si="0"/>
        <v>0</v>
      </c>
      <c r="G13" s="279">
        <f aca="true" t="shared" si="2" ref="G13:G29">G12+1</f>
        <v>4</v>
      </c>
    </row>
    <row r="14" spans="1:7" ht="12.75">
      <c r="A14" s="279">
        <f t="shared" si="1"/>
        <v>5</v>
      </c>
      <c r="B14" s="280" t="s">
        <v>370</v>
      </c>
      <c r="C14" s="282"/>
      <c r="D14" s="284"/>
      <c r="E14" s="282"/>
      <c r="F14" s="283">
        <f t="shared" si="0"/>
        <v>0</v>
      </c>
      <c r="G14" s="279">
        <f t="shared" si="2"/>
        <v>5</v>
      </c>
    </row>
    <row r="15" spans="1:7" ht="12.75">
      <c r="A15" s="279">
        <f t="shared" si="1"/>
        <v>6</v>
      </c>
      <c r="B15" s="280" t="s">
        <v>371</v>
      </c>
      <c r="C15" s="282"/>
      <c r="D15" s="284"/>
      <c r="E15" s="282"/>
      <c r="F15" s="283">
        <f t="shared" si="0"/>
        <v>0</v>
      </c>
      <c r="G15" s="279">
        <f t="shared" si="2"/>
        <v>6</v>
      </c>
    </row>
    <row r="16" spans="1:7" ht="12.75">
      <c r="A16" s="279">
        <f t="shared" si="1"/>
        <v>7</v>
      </c>
      <c r="B16" s="280" t="s">
        <v>372</v>
      </c>
      <c r="C16" s="282"/>
      <c r="D16" s="284"/>
      <c r="E16" s="282"/>
      <c r="F16" s="283">
        <f t="shared" si="0"/>
        <v>0</v>
      </c>
      <c r="G16" s="279">
        <f t="shared" si="2"/>
        <v>7</v>
      </c>
    </row>
    <row r="17" spans="1:7" ht="12.75">
      <c r="A17" s="279">
        <f t="shared" si="1"/>
        <v>8</v>
      </c>
      <c r="B17" s="280" t="s">
        <v>373</v>
      </c>
      <c r="C17" s="282"/>
      <c r="D17" s="284"/>
      <c r="E17" s="282"/>
      <c r="F17" s="283">
        <f t="shared" si="0"/>
        <v>0</v>
      </c>
      <c r="G17" s="279">
        <f t="shared" si="2"/>
        <v>8</v>
      </c>
    </row>
    <row r="18" spans="1:7" ht="12.75">
      <c r="A18" s="279">
        <f t="shared" si="1"/>
        <v>9</v>
      </c>
      <c r="B18" s="280" t="s">
        <v>374</v>
      </c>
      <c r="C18" s="282"/>
      <c r="D18" s="284"/>
      <c r="E18" s="282"/>
      <c r="F18" s="283">
        <f t="shared" si="0"/>
        <v>0</v>
      </c>
      <c r="G18" s="279">
        <f t="shared" si="2"/>
        <v>9</v>
      </c>
    </row>
    <row r="19" spans="1:7" ht="12.75">
      <c r="A19" s="279">
        <f t="shared" si="1"/>
        <v>10</v>
      </c>
      <c r="B19" s="280" t="s">
        <v>375</v>
      </c>
      <c r="C19" s="282"/>
      <c r="D19" s="284"/>
      <c r="E19" s="282"/>
      <c r="F19" s="283">
        <f t="shared" si="0"/>
        <v>0</v>
      </c>
      <c r="G19" s="279">
        <f t="shared" si="2"/>
        <v>10</v>
      </c>
    </row>
    <row r="20" spans="1:7" ht="12.75">
      <c r="A20" s="279">
        <f t="shared" si="1"/>
        <v>11</v>
      </c>
      <c r="B20" s="280" t="s">
        <v>376</v>
      </c>
      <c r="C20" s="282"/>
      <c r="D20" s="284"/>
      <c r="E20" s="282"/>
      <c r="F20" s="283">
        <f t="shared" si="0"/>
        <v>0</v>
      </c>
      <c r="G20" s="279">
        <f t="shared" si="2"/>
        <v>11</v>
      </c>
    </row>
    <row r="21" spans="1:10" ht="12.75">
      <c r="A21" s="279">
        <f t="shared" si="1"/>
        <v>12</v>
      </c>
      <c r="B21" s="280" t="s">
        <v>377</v>
      </c>
      <c r="C21" s="282"/>
      <c r="D21" s="284"/>
      <c r="E21" s="282"/>
      <c r="F21" s="283">
        <f t="shared" si="0"/>
        <v>0</v>
      </c>
      <c r="G21" s="279">
        <f t="shared" si="2"/>
        <v>12</v>
      </c>
      <c r="J21" s="285"/>
    </row>
    <row r="22" spans="1:7" ht="12.75">
      <c r="A22" s="279">
        <f t="shared" si="1"/>
        <v>13</v>
      </c>
      <c r="B22" s="280" t="s">
        <v>378</v>
      </c>
      <c r="C22" s="282"/>
      <c r="D22" s="284"/>
      <c r="E22" s="282"/>
      <c r="F22" s="283">
        <f t="shared" si="0"/>
        <v>0</v>
      </c>
      <c r="G22" s="279">
        <f t="shared" si="2"/>
        <v>13</v>
      </c>
    </row>
    <row r="23" spans="1:7" ht="12.75">
      <c r="A23" s="279">
        <f t="shared" si="1"/>
        <v>14</v>
      </c>
      <c r="B23" s="280" t="s">
        <v>379</v>
      </c>
      <c r="C23" s="282"/>
      <c r="D23" s="284"/>
      <c r="E23" s="282"/>
      <c r="F23" s="283">
        <f t="shared" si="0"/>
        <v>0</v>
      </c>
      <c r="G23" s="279">
        <f t="shared" si="2"/>
        <v>14</v>
      </c>
    </row>
    <row r="24" spans="1:7" ht="12.75">
      <c r="A24" s="279">
        <f t="shared" si="1"/>
        <v>15</v>
      </c>
      <c r="B24" s="280" t="s">
        <v>380</v>
      </c>
      <c r="C24" s="282"/>
      <c r="D24" s="284"/>
      <c r="E24" s="282"/>
      <c r="F24" s="283">
        <f t="shared" si="0"/>
        <v>0</v>
      </c>
      <c r="G24" s="279">
        <f t="shared" si="2"/>
        <v>15</v>
      </c>
    </row>
    <row r="25" spans="1:7" ht="12.75">
      <c r="A25" s="279">
        <f t="shared" si="1"/>
        <v>16</v>
      </c>
      <c r="B25" s="280" t="s">
        <v>381</v>
      </c>
      <c r="C25" s="282"/>
      <c r="D25" s="284"/>
      <c r="E25" s="282"/>
      <c r="F25" s="283">
        <f t="shared" si="0"/>
        <v>0</v>
      </c>
      <c r="G25" s="279">
        <f t="shared" si="2"/>
        <v>16</v>
      </c>
    </row>
    <row r="26" spans="1:7" ht="12.75">
      <c r="A26" s="279">
        <f t="shared" si="1"/>
        <v>17</v>
      </c>
      <c r="B26" s="280" t="s">
        <v>382</v>
      </c>
      <c r="C26" s="282"/>
      <c r="D26" s="284"/>
      <c r="E26" s="282"/>
      <c r="F26" s="283">
        <f t="shared" si="0"/>
        <v>0</v>
      </c>
      <c r="G26" s="279">
        <f t="shared" si="2"/>
        <v>17</v>
      </c>
    </row>
    <row r="27" spans="1:7" ht="12.75">
      <c r="A27" s="279">
        <f t="shared" si="1"/>
        <v>18</v>
      </c>
      <c r="B27" s="280" t="s">
        <v>383</v>
      </c>
      <c r="C27" s="282"/>
      <c r="D27" s="284"/>
      <c r="E27" s="282"/>
      <c r="F27" s="283">
        <f t="shared" si="0"/>
        <v>0</v>
      </c>
      <c r="G27" s="279">
        <f t="shared" si="2"/>
        <v>18</v>
      </c>
    </row>
    <row r="28" spans="1:7" ht="12.75">
      <c r="A28" s="279">
        <f t="shared" si="1"/>
        <v>19</v>
      </c>
      <c r="B28" s="280" t="s">
        <v>384</v>
      </c>
      <c r="C28" s="282"/>
      <c r="D28" s="284"/>
      <c r="E28" s="282"/>
      <c r="F28" s="283">
        <f t="shared" si="0"/>
        <v>0</v>
      </c>
      <c r="G28" s="279">
        <f t="shared" si="2"/>
        <v>19</v>
      </c>
    </row>
    <row r="29" spans="1:7" ht="12.75">
      <c r="A29" s="279">
        <f t="shared" si="1"/>
        <v>20</v>
      </c>
      <c r="B29" s="280" t="s">
        <v>385</v>
      </c>
      <c r="C29" s="282"/>
      <c r="D29" s="286"/>
      <c r="E29" s="282"/>
      <c r="F29" s="283">
        <f t="shared" si="0"/>
        <v>0</v>
      </c>
      <c r="G29" s="279">
        <f t="shared" si="2"/>
        <v>20</v>
      </c>
    </row>
    <row r="30" spans="1:7" ht="13.5" thickBot="1">
      <c r="A30" s="272">
        <v>21</v>
      </c>
      <c r="B30" s="287" t="s">
        <v>386</v>
      </c>
      <c r="C30" s="288"/>
      <c r="D30" s="289"/>
      <c r="E30" s="288"/>
      <c r="F30" s="283">
        <f t="shared" si="0"/>
        <v>0</v>
      </c>
      <c r="G30" s="272">
        <v>21</v>
      </c>
    </row>
    <row r="31" spans="1:7" ht="12.75">
      <c r="A31" s="290">
        <v>22</v>
      </c>
      <c r="B31" s="291" t="s">
        <v>387</v>
      </c>
      <c r="C31" s="271">
        <f>SUM(C12:C30)</f>
        <v>0</v>
      </c>
      <c r="D31" s="271">
        <f>SUM(D12:D30)</f>
        <v>0</v>
      </c>
      <c r="E31" s="271">
        <f>SUM(E12:E30)</f>
        <v>0</v>
      </c>
      <c r="F31" s="271">
        <f>SUM(F12:F30)</f>
        <v>0</v>
      </c>
      <c r="G31" s="279">
        <v>22</v>
      </c>
    </row>
    <row r="32" spans="1:7" ht="12.75">
      <c r="A32" s="292" t="s">
        <v>439</v>
      </c>
      <c r="B32" s="293" t="s">
        <v>388</v>
      </c>
      <c r="C32" s="294"/>
      <c r="D32" s="294"/>
      <c r="E32" s="294"/>
      <c r="F32" s="294"/>
      <c r="G32" s="295" t="s">
        <v>439</v>
      </c>
    </row>
    <row r="33" spans="1:7" ht="15" customHeight="1" thickBot="1">
      <c r="A33" s="295" t="s">
        <v>439</v>
      </c>
      <c r="B33" s="296" t="s">
        <v>389</v>
      </c>
      <c r="C33" s="297"/>
      <c r="D33" s="298"/>
      <c r="E33" s="299"/>
      <c r="F33" s="299"/>
      <c r="G33" s="295" t="s">
        <v>439</v>
      </c>
    </row>
    <row r="34" spans="1:7" ht="12.75">
      <c r="A34" s="279">
        <v>23</v>
      </c>
      <c r="B34" s="280" t="s">
        <v>390</v>
      </c>
      <c r="C34" s="281">
        <v>0</v>
      </c>
      <c r="D34" s="281">
        <v>0</v>
      </c>
      <c r="E34" s="281">
        <v>0</v>
      </c>
      <c r="F34" s="271">
        <f>C34+D34-E34</f>
        <v>0</v>
      </c>
      <c r="G34" s="279">
        <v>23</v>
      </c>
    </row>
    <row r="35" spans="1:7" ht="12.75">
      <c r="A35" s="279">
        <f aca="true" t="shared" si="3" ref="A35:A41">A34+1</f>
        <v>24</v>
      </c>
      <c r="B35" s="280" t="s">
        <v>391</v>
      </c>
      <c r="C35" s="300"/>
      <c r="D35" s="301"/>
      <c r="E35" s="300"/>
      <c r="F35" s="302"/>
      <c r="G35" s="279">
        <f aca="true" t="shared" si="4" ref="G35:G41">G34+1</f>
        <v>24</v>
      </c>
    </row>
    <row r="36" spans="1:7" ht="12.75">
      <c r="A36" s="279">
        <f t="shared" si="3"/>
        <v>25</v>
      </c>
      <c r="B36" s="280" t="s">
        <v>392</v>
      </c>
      <c r="C36" s="300"/>
      <c r="D36" s="301"/>
      <c r="E36" s="300"/>
      <c r="F36" s="302"/>
      <c r="G36" s="279">
        <f t="shared" si="4"/>
        <v>25</v>
      </c>
    </row>
    <row r="37" spans="1:7" ht="12.75">
      <c r="A37" s="279">
        <f t="shared" si="3"/>
        <v>26</v>
      </c>
      <c r="B37" s="280" t="s">
        <v>393</v>
      </c>
      <c r="C37" s="300"/>
      <c r="D37" s="301"/>
      <c r="E37" s="300"/>
      <c r="F37" s="302"/>
      <c r="G37" s="279">
        <f t="shared" si="4"/>
        <v>26</v>
      </c>
    </row>
    <row r="38" spans="1:7" ht="12.75">
      <c r="A38" s="279">
        <f t="shared" si="3"/>
        <v>27</v>
      </c>
      <c r="B38" s="280" t="s">
        <v>394</v>
      </c>
      <c r="C38" s="300"/>
      <c r="D38" s="301"/>
      <c r="E38" s="300"/>
      <c r="F38" s="302"/>
      <c r="G38" s="279">
        <f t="shared" si="4"/>
        <v>27</v>
      </c>
    </row>
    <row r="39" spans="1:7" ht="12.75">
      <c r="A39" s="279">
        <f t="shared" si="3"/>
        <v>28</v>
      </c>
      <c r="B39" s="280" t="s">
        <v>395</v>
      </c>
      <c r="C39" s="300"/>
      <c r="D39" s="301"/>
      <c r="E39" s="300"/>
      <c r="F39" s="302"/>
      <c r="G39" s="279">
        <f t="shared" si="4"/>
        <v>28</v>
      </c>
    </row>
    <row r="40" spans="1:7" ht="12.75">
      <c r="A40" s="279">
        <f t="shared" si="3"/>
        <v>29</v>
      </c>
      <c r="B40" s="280" t="s">
        <v>396</v>
      </c>
      <c r="C40" s="300"/>
      <c r="D40" s="301"/>
      <c r="E40" s="300"/>
      <c r="F40" s="302"/>
      <c r="G40" s="279">
        <f t="shared" si="4"/>
        <v>29</v>
      </c>
    </row>
    <row r="41" spans="1:7" ht="12.75">
      <c r="A41" s="279">
        <f t="shared" si="3"/>
        <v>30</v>
      </c>
      <c r="B41" s="280" t="s">
        <v>397</v>
      </c>
      <c r="C41" s="300"/>
      <c r="D41" s="301"/>
      <c r="E41" s="300"/>
      <c r="F41" s="302"/>
      <c r="G41" s="279">
        <f t="shared" si="4"/>
        <v>30</v>
      </c>
    </row>
    <row r="42" spans="1:7" ht="13.5" thickBot="1">
      <c r="A42" s="272">
        <v>31</v>
      </c>
      <c r="B42" s="280" t="s">
        <v>398</v>
      </c>
      <c r="C42" s="303"/>
      <c r="D42" s="304"/>
      <c r="E42" s="303"/>
      <c r="F42" s="305"/>
      <c r="G42" s="272">
        <v>31</v>
      </c>
    </row>
    <row r="43" spans="1:7" ht="12.75">
      <c r="A43" s="279">
        <v>32</v>
      </c>
      <c r="B43" s="280" t="s">
        <v>333</v>
      </c>
      <c r="C43" s="306">
        <f>SUM(C35:C42)</f>
        <v>0</v>
      </c>
      <c r="D43" s="306">
        <f>SUM(D35:D42)</f>
        <v>0</v>
      </c>
      <c r="E43" s="306">
        <f>SUM(E35:E42)</f>
        <v>0</v>
      </c>
      <c r="F43" s="306">
        <f>SUM(F35:F42)</f>
        <v>0</v>
      </c>
      <c r="G43" s="279">
        <v>32</v>
      </c>
    </row>
    <row r="44" spans="1:7" ht="15" customHeight="1" thickBot="1">
      <c r="A44" s="275" t="s">
        <v>439</v>
      </c>
      <c r="B44" s="276" t="s">
        <v>399</v>
      </c>
      <c r="C44" s="307"/>
      <c r="D44" s="308"/>
      <c r="E44" s="307"/>
      <c r="F44" s="307"/>
      <c r="G44" s="275" t="s">
        <v>439</v>
      </c>
    </row>
    <row r="45" spans="1:7" ht="12.75">
      <c r="A45" s="279">
        <v>33</v>
      </c>
      <c r="B45" s="280" t="s">
        <v>400</v>
      </c>
      <c r="C45" s="281">
        <v>0</v>
      </c>
      <c r="D45" s="281">
        <v>0</v>
      </c>
      <c r="E45" s="281">
        <v>0</v>
      </c>
      <c r="F45" s="271">
        <f>C45+D45-E45</f>
        <v>0</v>
      </c>
      <c r="G45" s="279">
        <v>33</v>
      </c>
    </row>
    <row r="46" spans="1:7" ht="12.75">
      <c r="A46" s="279">
        <f aca="true" t="shared" si="5" ref="A46:A55">A45+1</f>
        <v>34</v>
      </c>
      <c r="B46" s="280" t="s">
        <v>401</v>
      </c>
      <c r="C46" s="300"/>
      <c r="D46" s="301"/>
      <c r="E46" s="300"/>
      <c r="F46" s="302"/>
      <c r="G46" s="279">
        <f aca="true" t="shared" si="6" ref="G46:G55">G45+1</f>
        <v>34</v>
      </c>
    </row>
    <row r="47" spans="1:7" ht="12.75">
      <c r="A47" s="279">
        <f t="shared" si="5"/>
        <v>35</v>
      </c>
      <c r="B47" s="280" t="s">
        <v>402</v>
      </c>
      <c r="C47" s="300"/>
      <c r="D47" s="301"/>
      <c r="E47" s="300"/>
      <c r="F47" s="302"/>
      <c r="G47" s="279">
        <f t="shared" si="6"/>
        <v>35</v>
      </c>
    </row>
    <row r="48" spans="1:7" ht="12.75">
      <c r="A48" s="279">
        <f t="shared" si="5"/>
        <v>36</v>
      </c>
      <c r="B48" s="280" t="s">
        <v>284</v>
      </c>
      <c r="C48" s="300"/>
      <c r="D48" s="301"/>
      <c r="E48" s="300"/>
      <c r="F48" s="302"/>
      <c r="G48" s="279">
        <f t="shared" si="6"/>
        <v>36</v>
      </c>
    </row>
    <row r="49" spans="1:7" ht="12.75">
      <c r="A49" s="279">
        <f t="shared" si="5"/>
        <v>37</v>
      </c>
      <c r="B49" s="280" t="s">
        <v>285</v>
      </c>
      <c r="C49" s="300"/>
      <c r="D49" s="301"/>
      <c r="E49" s="300"/>
      <c r="F49" s="302"/>
      <c r="G49" s="279">
        <f t="shared" si="6"/>
        <v>37</v>
      </c>
    </row>
    <row r="50" spans="1:7" ht="12.75">
      <c r="A50" s="279">
        <f t="shared" si="5"/>
        <v>38</v>
      </c>
      <c r="B50" s="280" t="s">
        <v>286</v>
      </c>
      <c r="C50" s="300"/>
      <c r="D50" s="301"/>
      <c r="E50" s="300"/>
      <c r="F50" s="302"/>
      <c r="G50" s="279">
        <f t="shared" si="6"/>
        <v>38</v>
      </c>
    </row>
    <row r="51" spans="1:7" ht="12.75">
      <c r="A51" s="279">
        <f t="shared" si="5"/>
        <v>39</v>
      </c>
      <c r="B51" s="280" t="s">
        <v>287</v>
      </c>
      <c r="C51" s="300"/>
      <c r="D51" s="301"/>
      <c r="E51" s="300"/>
      <c r="F51" s="302"/>
      <c r="G51" s="279">
        <f t="shared" si="6"/>
        <v>39</v>
      </c>
    </row>
    <row r="52" spans="1:7" ht="12.75">
      <c r="A52" s="279">
        <f t="shared" si="5"/>
        <v>40</v>
      </c>
      <c r="B52" s="280" t="s">
        <v>288</v>
      </c>
      <c r="C52" s="300"/>
      <c r="D52" s="301"/>
      <c r="E52" s="300"/>
      <c r="F52" s="302"/>
      <c r="G52" s="279">
        <f t="shared" si="6"/>
        <v>40</v>
      </c>
    </row>
    <row r="53" spans="1:7" ht="12.75">
      <c r="A53" s="279">
        <f t="shared" si="5"/>
        <v>41</v>
      </c>
      <c r="B53" s="280" t="s">
        <v>289</v>
      </c>
      <c r="C53" s="300"/>
      <c r="D53" s="301"/>
      <c r="E53" s="300"/>
      <c r="F53" s="302"/>
      <c r="G53" s="279">
        <f t="shared" si="6"/>
        <v>41</v>
      </c>
    </row>
    <row r="54" spans="1:7" ht="12.75">
      <c r="A54" s="279">
        <f t="shared" si="5"/>
        <v>42</v>
      </c>
      <c r="B54" s="280" t="s">
        <v>290</v>
      </c>
      <c r="C54" s="300"/>
      <c r="D54" s="301"/>
      <c r="E54" s="300"/>
      <c r="F54" s="302"/>
      <c r="G54" s="279">
        <f t="shared" si="6"/>
        <v>42</v>
      </c>
    </row>
    <row r="55" spans="1:7" ht="12.75">
      <c r="A55" s="279">
        <f t="shared" si="5"/>
        <v>43</v>
      </c>
      <c r="B55" s="280" t="s">
        <v>291</v>
      </c>
      <c r="C55" s="300"/>
      <c r="D55" s="301"/>
      <c r="E55" s="300"/>
      <c r="F55" s="302"/>
      <c r="G55" s="279">
        <f t="shared" si="6"/>
        <v>43</v>
      </c>
    </row>
    <row r="56" spans="1:7" ht="13.5" thickBot="1">
      <c r="A56" s="309">
        <v>44</v>
      </c>
      <c r="B56" s="287" t="s">
        <v>292</v>
      </c>
      <c r="C56" s="310"/>
      <c r="D56" s="311"/>
      <c r="E56" s="310"/>
      <c r="F56" s="312"/>
      <c r="G56" s="309">
        <v>44</v>
      </c>
    </row>
    <row r="57" spans="1:7" ht="13.5" thickBot="1">
      <c r="A57" s="313">
        <v>45</v>
      </c>
      <c r="B57" s="314" t="s">
        <v>334</v>
      </c>
      <c r="C57" s="315">
        <f>SUM(C46:C56)</f>
        <v>0</v>
      </c>
      <c r="D57" s="315">
        <f>SUM(D46:D56)</f>
        <v>0</v>
      </c>
      <c r="E57" s="315">
        <f>SUM(E46:E56)</f>
        <v>0</v>
      </c>
      <c r="F57" s="315">
        <f>SUM(F46:F56)</f>
        <v>0</v>
      </c>
      <c r="G57" s="313">
        <v>45</v>
      </c>
    </row>
    <row r="58" spans="1:7" ht="6.75" customHeight="1">
      <c r="A58" s="316"/>
      <c r="B58" s="317"/>
      <c r="C58" s="317"/>
      <c r="D58" s="318"/>
      <c r="E58" s="317"/>
      <c r="F58" s="317"/>
      <c r="G58" s="319"/>
    </row>
    <row r="59" spans="1:7" ht="14.25" customHeight="1">
      <c r="A59" s="320" t="s">
        <v>293</v>
      </c>
      <c r="B59" s="321"/>
      <c r="C59" s="256"/>
      <c r="D59" s="255"/>
      <c r="E59" s="256"/>
      <c r="F59" s="258"/>
      <c r="G59" s="258"/>
    </row>
    <row r="60" spans="1:7" ht="12.75">
      <c r="A60" s="259"/>
      <c r="B60" s="261"/>
      <c r="C60" s="261"/>
      <c r="D60" s="261"/>
      <c r="E60" s="261"/>
      <c r="F60" s="261"/>
      <c r="G60" s="261"/>
    </row>
    <row r="61" spans="1:7" ht="12.75">
      <c r="A61" s="259"/>
      <c r="B61" s="261"/>
      <c r="C61" s="261"/>
      <c r="D61" s="261"/>
      <c r="E61" s="261"/>
      <c r="F61" s="261"/>
      <c r="G61" s="261"/>
    </row>
    <row r="62" spans="1:7" ht="12.75">
      <c r="A62" s="259"/>
      <c r="B62" s="261"/>
      <c r="C62" s="261"/>
      <c r="D62" s="261"/>
      <c r="E62" s="261"/>
      <c r="F62" s="261"/>
      <c r="G62" s="261"/>
    </row>
    <row r="63" spans="1:7" ht="12.75">
      <c r="A63" s="259"/>
      <c r="B63" s="261"/>
      <c r="C63" s="261"/>
      <c r="D63" s="261"/>
      <c r="E63" s="261"/>
      <c r="F63" s="261"/>
      <c r="G63" s="261"/>
    </row>
    <row r="64" spans="1:7" ht="12.75">
      <c r="A64" s="259"/>
      <c r="B64" s="261"/>
      <c r="C64" s="261"/>
      <c r="D64" s="261"/>
      <c r="E64" s="261"/>
      <c r="F64" s="261"/>
      <c r="G64" s="261"/>
    </row>
    <row r="65" spans="1:7" ht="12.75">
      <c r="A65" s="259"/>
      <c r="B65" s="261"/>
      <c r="C65" s="261"/>
      <c r="D65" s="261"/>
      <c r="E65" s="261"/>
      <c r="F65" s="261"/>
      <c r="G65" s="261"/>
    </row>
    <row r="66" spans="1:7" ht="12.75">
      <c r="A66" s="259"/>
      <c r="B66" s="261"/>
      <c r="C66" s="261"/>
      <c r="D66" s="261"/>
      <c r="E66" s="261"/>
      <c r="F66" s="261"/>
      <c r="G66" s="261"/>
    </row>
    <row r="67" spans="1:7" ht="12.75">
      <c r="A67" s="259"/>
      <c r="B67" s="261"/>
      <c r="C67" s="261"/>
      <c r="D67" s="261"/>
      <c r="E67" s="261"/>
      <c r="F67" s="261"/>
      <c r="G67" s="261"/>
    </row>
    <row r="68" spans="1:7" ht="12.75">
      <c r="A68" s="259"/>
      <c r="B68" s="261"/>
      <c r="C68" s="261"/>
      <c r="D68" s="261"/>
      <c r="E68" s="261"/>
      <c r="F68" s="261"/>
      <c r="G68" s="261"/>
    </row>
  </sheetData>
  <printOptions/>
  <pageMargins left="0.52" right="0.67" top="0.4" bottom="0" header="0.57" footer="0.31"/>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tabColor indexed="40"/>
  </sheetPr>
  <dimension ref="A1:M43"/>
  <sheetViews>
    <sheetView zoomScale="75" zoomScaleNormal="75" workbookViewId="0" topLeftCell="A1">
      <selection activeCell="K9" sqref="K9"/>
    </sheetView>
  </sheetViews>
  <sheetFormatPr defaultColWidth="9.140625" defaultRowHeight="12.75"/>
  <cols>
    <col min="1" max="1" width="5.7109375" style="0" customWidth="1"/>
    <col min="2" max="2" width="1.7109375" style="0" customWidth="1"/>
    <col min="3" max="3" width="27.7109375" style="0" customWidth="1"/>
    <col min="4" max="4" width="1.7109375" style="0" customWidth="1"/>
    <col min="5" max="5" width="10.28125" style="0" customWidth="1"/>
    <col min="6" max="6" width="1.7109375" style="0" customWidth="1"/>
    <col min="7" max="7" width="14.28125" style="0" customWidth="1"/>
    <col min="8" max="8" width="1.7109375" style="0" customWidth="1"/>
    <col min="9" max="9" width="15.7109375" style="0" bestFit="1" customWidth="1"/>
    <col min="10" max="10" width="2.421875" style="0" customWidth="1"/>
    <col min="11" max="11" width="11.7109375" style="0" bestFit="1" customWidth="1"/>
    <col min="12" max="12" width="1.8515625" style="0" customWidth="1"/>
    <col min="13" max="13" width="13.28125" style="0" bestFit="1" customWidth="1"/>
    <col min="14" max="14" width="12.7109375" style="0" customWidth="1"/>
  </cols>
  <sheetData>
    <row r="1" spans="1:9" ht="12.75">
      <c r="A1" s="20"/>
      <c r="B1" s="20"/>
      <c r="C1" s="11"/>
      <c r="D1" s="11"/>
      <c r="E1" s="20"/>
      <c r="F1" s="20"/>
      <c r="G1" s="32"/>
      <c r="H1" s="32"/>
      <c r="I1" s="30"/>
    </row>
    <row r="2" spans="1:13" ht="15.75">
      <c r="A2" s="7"/>
      <c r="B2" s="7"/>
      <c r="C2" s="8"/>
      <c r="D2" s="8"/>
      <c r="E2" s="20"/>
      <c r="F2" s="9"/>
      <c r="G2" s="9"/>
      <c r="H2" s="10"/>
      <c r="M2" s="133" t="s">
        <v>714</v>
      </c>
    </row>
    <row r="3" spans="1:9" ht="12.75">
      <c r="A3" s="60" t="s">
        <v>528</v>
      </c>
      <c r="B3" s="75"/>
      <c r="C3" s="75"/>
      <c r="D3" s="75"/>
      <c r="E3" s="75"/>
      <c r="F3" s="60"/>
      <c r="G3" s="60"/>
      <c r="H3" s="61"/>
      <c r="I3" s="75"/>
    </row>
    <row r="4" spans="1:9" ht="12.75">
      <c r="A4" s="60" t="s">
        <v>500</v>
      </c>
      <c r="B4" s="75"/>
      <c r="C4" s="75"/>
      <c r="D4" s="75"/>
      <c r="E4" s="75"/>
      <c r="F4" s="60"/>
      <c r="G4" s="60"/>
      <c r="H4" s="61"/>
      <c r="I4" s="76"/>
    </row>
    <row r="5" spans="1:9" ht="12.75">
      <c r="A5" s="60"/>
      <c r="B5" s="75"/>
      <c r="C5" s="75"/>
      <c r="D5" s="75"/>
      <c r="E5" s="75"/>
      <c r="F5" s="60"/>
      <c r="G5" s="60"/>
      <c r="H5" s="61"/>
      <c r="I5" s="76"/>
    </row>
    <row r="6" spans="1:9" ht="12.75">
      <c r="A6" s="60" t="s">
        <v>473</v>
      </c>
      <c r="B6" s="75"/>
      <c r="C6" s="75"/>
      <c r="D6" s="75"/>
      <c r="E6" s="75"/>
      <c r="F6" s="60"/>
      <c r="G6" s="60"/>
      <c r="H6" s="61"/>
      <c r="I6" s="76"/>
    </row>
    <row r="7" spans="1:9" ht="12.75">
      <c r="A7" s="60"/>
      <c r="B7" s="75"/>
      <c r="C7" s="75"/>
      <c r="D7" s="75"/>
      <c r="E7" s="75"/>
      <c r="F7" s="60"/>
      <c r="G7" s="60"/>
      <c r="H7" s="61"/>
      <c r="I7" s="76"/>
    </row>
    <row r="8" spans="1:13" ht="12.75">
      <c r="A8" s="60"/>
      <c r="B8" s="75"/>
      <c r="C8" s="75"/>
      <c r="D8" s="75"/>
      <c r="E8" s="75"/>
      <c r="F8" s="60"/>
      <c r="G8" s="726" t="s">
        <v>76</v>
      </c>
      <c r="H8" s="726"/>
      <c r="I8" s="726"/>
      <c r="K8" s="725" t="s">
        <v>731</v>
      </c>
      <c r="L8" s="725"/>
      <c r="M8" s="725"/>
    </row>
    <row r="9" spans="1:9" ht="13.5" thickBot="1">
      <c r="A9" s="75"/>
      <c r="B9" s="75"/>
      <c r="C9" s="75"/>
      <c r="D9" s="75"/>
      <c r="E9" s="75"/>
      <c r="F9" s="75"/>
      <c r="G9" s="61"/>
      <c r="H9" s="61"/>
      <c r="I9" s="76"/>
    </row>
    <row r="10" spans="1:13" ht="36" customHeight="1" thickBot="1">
      <c r="A10" s="106" t="s">
        <v>525</v>
      </c>
      <c r="B10" s="13"/>
      <c r="C10" s="106" t="s">
        <v>553</v>
      </c>
      <c r="D10" s="13"/>
      <c r="E10" s="106" t="s">
        <v>524</v>
      </c>
      <c r="F10" s="13"/>
      <c r="G10" s="107" t="s">
        <v>536</v>
      </c>
      <c r="H10" s="14"/>
      <c r="I10" s="108" t="s">
        <v>456</v>
      </c>
      <c r="K10" s="107" t="s">
        <v>536</v>
      </c>
      <c r="L10" s="14"/>
      <c r="M10" s="108" t="s">
        <v>456</v>
      </c>
    </row>
    <row r="11" spans="1:13" ht="12.75">
      <c r="A11" s="16"/>
      <c r="B11" s="16"/>
      <c r="C11" s="17" t="s">
        <v>404</v>
      </c>
      <c r="D11" s="17"/>
      <c r="E11" s="18" t="s">
        <v>405</v>
      </c>
      <c r="F11" s="18"/>
      <c r="G11" s="19" t="s">
        <v>551</v>
      </c>
      <c r="H11" s="19"/>
      <c r="I11" s="19" t="s">
        <v>406</v>
      </c>
      <c r="K11" s="19" t="s">
        <v>550</v>
      </c>
      <c r="L11" s="19"/>
      <c r="M11" s="19" t="s">
        <v>555</v>
      </c>
    </row>
    <row r="12" spans="1:13" ht="12.75">
      <c r="A12" s="16"/>
      <c r="B12" s="16"/>
      <c r="C12" s="21"/>
      <c r="D12" s="21"/>
      <c r="E12" s="16"/>
      <c r="F12" s="16"/>
      <c r="K12" s="22"/>
      <c r="L12" s="22"/>
      <c r="M12" s="23"/>
    </row>
    <row r="13" spans="1:13" ht="12.75" customHeight="1">
      <c r="A13" s="16"/>
      <c r="B13" s="16"/>
      <c r="C13" s="69" t="s">
        <v>516</v>
      </c>
      <c r="D13" s="24"/>
      <c r="E13" s="16"/>
      <c r="F13" s="16"/>
      <c r="K13" s="22"/>
      <c r="L13" s="22"/>
      <c r="M13" s="23"/>
    </row>
    <row r="14" spans="1:13" ht="12.75">
      <c r="A14" s="16"/>
      <c r="B14" s="16"/>
      <c r="C14" s="21"/>
      <c r="D14" s="21"/>
      <c r="E14" s="16"/>
      <c r="F14" s="16"/>
      <c r="K14" s="22"/>
      <c r="L14" s="22"/>
      <c r="M14" s="23"/>
    </row>
    <row r="15" spans="1:13" ht="12.75">
      <c r="A15" s="17">
        <v>1</v>
      </c>
      <c r="B15" s="17"/>
      <c r="C15" s="21" t="s">
        <v>517</v>
      </c>
      <c r="D15" s="21"/>
      <c r="E15" s="204" t="s">
        <v>580</v>
      </c>
      <c r="F15" s="204"/>
      <c r="G15" s="136"/>
      <c r="H15" s="136"/>
      <c r="I15" s="135">
        <v>3176535</v>
      </c>
      <c r="K15" s="136"/>
      <c r="L15" s="136"/>
      <c r="M15" s="135">
        <f>+'Schedule B'!G30</f>
        <v>3155669.818769203</v>
      </c>
    </row>
    <row r="16" spans="1:13" ht="12.75">
      <c r="A16" s="17"/>
      <c r="B16" s="17"/>
      <c r="C16" s="21"/>
      <c r="D16" s="21"/>
      <c r="E16" s="204"/>
      <c r="F16" s="204"/>
      <c r="G16" s="136"/>
      <c r="H16" s="136"/>
      <c r="I16" s="135"/>
      <c r="K16" s="136"/>
      <c r="L16" s="136"/>
      <c r="M16" s="135"/>
    </row>
    <row r="17" spans="1:13" ht="28.5" customHeight="1">
      <c r="A17" s="17">
        <v>2</v>
      </c>
      <c r="B17" s="17"/>
      <c r="C17" s="21" t="s">
        <v>346</v>
      </c>
      <c r="D17" s="21"/>
      <c r="E17" s="204" t="s">
        <v>556</v>
      </c>
      <c r="F17" s="204"/>
      <c r="G17" s="212">
        <v>0.1325</v>
      </c>
      <c r="H17" s="136"/>
      <c r="I17" s="135">
        <v>420891</v>
      </c>
      <c r="K17" s="212">
        <f>+'Schedule E'!L18</f>
        <v>0.1025</v>
      </c>
      <c r="L17" s="136"/>
      <c r="M17" s="135">
        <f>+K17*M15</f>
        <v>323456.1564238433</v>
      </c>
    </row>
    <row r="18" spans="1:13" ht="12.75">
      <c r="A18" s="17"/>
      <c r="B18" s="17"/>
      <c r="C18" s="21"/>
      <c r="D18" s="21"/>
      <c r="E18" s="204"/>
      <c r="F18" s="204"/>
      <c r="G18" s="136"/>
      <c r="H18" s="136"/>
      <c r="I18" s="135"/>
      <c r="K18" s="136"/>
      <c r="L18" s="136"/>
      <c r="M18" s="135"/>
    </row>
    <row r="19" spans="1:13" ht="13.5" thickBot="1">
      <c r="A19" s="17">
        <v>3</v>
      </c>
      <c r="B19" s="17"/>
      <c r="C19" s="21" t="s">
        <v>518</v>
      </c>
      <c r="D19" s="21"/>
      <c r="E19" s="204" t="s">
        <v>417</v>
      </c>
      <c r="F19" s="204"/>
      <c r="G19" s="212">
        <v>0.02843</v>
      </c>
      <c r="H19" s="136"/>
      <c r="I19" s="225">
        <v>90322</v>
      </c>
      <c r="K19" s="212">
        <f>+M19/M15</f>
        <v>0.06300421281055217</v>
      </c>
      <c r="L19" s="136"/>
      <c r="M19" s="225">
        <f>+'Schedule A-1'!Q27</f>
        <v>198820.49282157148</v>
      </c>
    </row>
    <row r="20" spans="1:13" ht="12.75">
      <c r="A20" s="17"/>
      <c r="B20" s="17"/>
      <c r="C20" s="21"/>
      <c r="D20" s="21"/>
      <c r="E20" s="205"/>
      <c r="F20" s="205"/>
      <c r="G20" s="136"/>
      <c r="H20" s="136"/>
      <c r="I20" s="135"/>
      <c r="K20" s="136"/>
      <c r="L20" s="136"/>
      <c r="M20" s="135"/>
    </row>
    <row r="21" spans="1:13" ht="25.5">
      <c r="A21" s="17">
        <v>4</v>
      </c>
      <c r="B21" s="17"/>
      <c r="C21" s="21" t="s">
        <v>348</v>
      </c>
      <c r="D21" s="21"/>
      <c r="E21" s="205"/>
      <c r="F21" s="205"/>
      <c r="G21" s="206"/>
      <c r="H21" s="136"/>
      <c r="I21" s="135">
        <v>330568</v>
      </c>
      <c r="K21" s="206" t="s">
        <v>439</v>
      </c>
      <c r="L21" s="136"/>
      <c r="M21" s="135">
        <f>M17-M19</f>
        <v>124635.66360227182</v>
      </c>
    </row>
    <row r="22" spans="1:13" ht="12.75">
      <c r="A22" s="17"/>
      <c r="B22" s="17"/>
      <c r="C22" s="21"/>
      <c r="D22" s="21"/>
      <c r="E22" s="205"/>
      <c r="F22" s="205"/>
      <c r="G22" s="136"/>
      <c r="H22" s="136"/>
      <c r="I22" s="135"/>
      <c r="K22" s="136"/>
      <c r="L22" s="136"/>
      <c r="M22" s="135"/>
    </row>
    <row r="23" spans="1:13" ht="15" customHeight="1" thickBot="1">
      <c r="A23" s="17">
        <v>5</v>
      </c>
      <c r="B23" s="17"/>
      <c r="C23" s="31" t="s">
        <v>349</v>
      </c>
      <c r="D23" s="25"/>
      <c r="E23" s="205"/>
      <c r="F23" s="205"/>
      <c r="G23" s="136"/>
      <c r="H23" s="136"/>
      <c r="I23" s="243">
        <v>521814</v>
      </c>
      <c r="K23" s="136"/>
      <c r="L23" s="136"/>
      <c r="M23" s="243">
        <f>+M21*I42</f>
        <v>196741.89925780322</v>
      </c>
    </row>
    <row r="24" spans="1:13" ht="15" customHeight="1" thickTop="1">
      <c r="A24" s="17"/>
      <c r="B24" s="17"/>
      <c r="C24" s="25"/>
      <c r="D24" s="25"/>
      <c r="E24" s="205"/>
      <c r="F24" s="205"/>
      <c r="G24" s="136"/>
      <c r="H24" s="136"/>
      <c r="I24" s="211"/>
      <c r="K24" s="136"/>
      <c r="L24" s="136"/>
      <c r="M24" s="211"/>
    </row>
    <row r="25" spans="1:13" ht="15" customHeight="1" thickBot="1">
      <c r="A25" s="17">
        <v>6</v>
      </c>
      <c r="B25" s="17"/>
      <c r="C25" s="626" t="s">
        <v>26</v>
      </c>
      <c r="D25" s="25"/>
      <c r="E25" s="205"/>
      <c r="F25" s="205"/>
      <c r="G25" s="136"/>
      <c r="H25" s="136"/>
      <c r="I25" s="624">
        <v>292571</v>
      </c>
      <c r="K25" s="136"/>
      <c r="L25" s="136"/>
      <c r="M25" s="624">
        <f>+'Schedule A-1'!S17</f>
        <v>196741.89925780316</v>
      </c>
    </row>
    <row r="26" spans="1:13" ht="15" customHeight="1" thickTop="1">
      <c r="A26" s="17"/>
      <c r="B26" s="17"/>
      <c r="C26" s="626"/>
      <c r="D26" s="25"/>
      <c r="E26" s="205"/>
      <c r="F26" s="205"/>
      <c r="G26" s="136"/>
      <c r="H26" s="136"/>
      <c r="I26" s="211"/>
      <c r="K26" s="136"/>
      <c r="L26" s="136"/>
      <c r="M26" s="211"/>
    </row>
    <row r="27" spans="1:13" ht="24.75" customHeight="1" thickBot="1">
      <c r="A27" s="17">
        <v>7</v>
      </c>
      <c r="B27" s="17"/>
      <c r="C27" s="627" t="s">
        <v>21</v>
      </c>
      <c r="D27" s="25"/>
      <c r="E27" s="204" t="s">
        <v>535</v>
      </c>
      <c r="F27" s="204"/>
      <c r="G27" s="213">
        <v>0.08678</v>
      </c>
      <c r="H27" s="214"/>
      <c r="I27" s="242">
        <v>275666</v>
      </c>
      <c r="J27" s="231"/>
      <c r="K27" s="213">
        <f>+'Schedule B'!G32</f>
        <v>0.10249999999999998</v>
      </c>
      <c r="L27" s="214"/>
      <c r="M27" s="242">
        <f>+K27*M15</f>
        <v>323456.15642384323</v>
      </c>
    </row>
    <row r="28" spans="1:10" ht="15" customHeight="1" thickTop="1">
      <c r="A28" s="17"/>
      <c r="B28" s="17"/>
      <c r="C28" s="25"/>
      <c r="D28" s="25"/>
      <c r="E28" s="205"/>
      <c r="F28" s="205"/>
      <c r="G28" s="136"/>
      <c r="H28" s="136"/>
      <c r="I28" s="211"/>
      <c r="J28" s="138"/>
    </row>
    <row r="29" spans="1:11" ht="12.75" customHeight="1">
      <c r="A29" s="17"/>
      <c r="B29" s="16"/>
      <c r="C29" s="21"/>
      <c r="D29" s="21"/>
      <c r="E29" s="205"/>
      <c r="F29" s="205"/>
      <c r="G29" s="136"/>
      <c r="H29" s="136"/>
      <c r="K29" s="138"/>
    </row>
    <row r="30" spans="1:11" ht="13.5" thickBot="1">
      <c r="A30" s="226"/>
      <c r="B30" s="26"/>
      <c r="C30" s="27"/>
      <c r="D30" s="27"/>
      <c r="E30" s="207"/>
      <c r="F30" s="207"/>
      <c r="G30" s="137"/>
      <c r="H30" s="137"/>
      <c r="I30" s="137"/>
      <c r="K30" s="472"/>
    </row>
    <row r="31" spans="1:9" ht="12.75">
      <c r="A31" s="25" t="s">
        <v>542</v>
      </c>
      <c r="B31" s="16"/>
      <c r="D31" s="25"/>
      <c r="E31" s="205"/>
      <c r="F31" s="205"/>
      <c r="G31" s="136"/>
      <c r="H31" s="136"/>
      <c r="I31" s="208"/>
    </row>
    <row r="32" spans="1:11" ht="12.75">
      <c r="A32" s="17"/>
      <c r="B32" s="16"/>
      <c r="C32" s="21"/>
      <c r="D32" s="21"/>
      <c r="E32" s="205"/>
      <c r="F32" s="205"/>
      <c r="G32" s="209"/>
      <c r="H32" s="136"/>
      <c r="I32" s="215">
        <v>1</v>
      </c>
      <c r="K32" s="138"/>
    </row>
    <row r="33" spans="1:11" ht="12.75">
      <c r="A33" s="17">
        <v>8</v>
      </c>
      <c r="B33" s="16"/>
      <c r="C33" s="51" t="s">
        <v>459</v>
      </c>
      <c r="D33" s="21"/>
      <c r="E33" s="205"/>
      <c r="F33" s="205"/>
      <c r="G33" s="209"/>
      <c r="H33" s="136"/>
      <c r="I33" s="219">
        <v>-0.005</v>
      </c>
      <c r="K33" s="221"/>
    </row>
    <row r="34" spans="1:11" ht="13.5" thickBot="1">
      <c r="A34" s="17">
        <v>9</v>
      </c>
      <c r="B34" s="16"/>
      <c r="C34" s="31" t="s">
        <v>455</v>
      </c>
      <c r="D34" s="31"/>
      <c r="E34" s="205"/>
      <c r="F34" s="205"/>
      <c r="G34" s="209"/>
      <c r="H34" s="136"/>
      <c r="I34" s="220">
        <f>-12301/603369</f>
        <v>-0.020387192580328124</v>
      </c>
      <c r="K34" s="221"/>
    </row>
    <row r="35" spans="1:11" ht="12.75">
      <c r="A35" s="17">
        <v>10</v>
      </c>
      <c r="B35" s="16"/>
      <c r="C35" s="31" t="s">
        <v>474</v>
      </c>
      <c r="D35" s="31"/>
      <c r="E35" s="16"/>
      <c r="F35" s="16"/>
      <c r="G35" s="32"/>
      <c r="H35" s="22"/>
      <c r="I35" s="216">
        <f>SUM(I32:I34)</f>
        <v>0.9746128074196718</v>
      </c>
      <c r="K35" s="138"/>
    </row>
    <row r="36" spans="1:11" ht="12.75">
      <c r="A36" s="17">
        <v>11</v>
      </c>
      <c r="B36" s="16"/>
      <c r="C36" s="31" t="s">
        <v>475</v>
      </c>
      <c r="D36" s="31"/>
      <c r="E36" s="16"/>
      <c r="F36" s="16"/>
      <c r="G36" s="32"/>
      <c r="H36" s="22"/>
      <c r="I36" s="216">
        <v>0.35</v>
      </c>
      <c r="K36" s="138"/>
    </row>
    <row r="37" spans="1:11" ht="12.75">
      <c r="A37" s="17" t="s">
        <v>439</v>
      </c>
      <c r="B37" s="16"/>
      <c r="C37" s="31"/>
      <c r="D37" s="31"/>
      <c r="E37" s="16"/>
      <c r="F37" s="16"/>
      <c r="G37" s="29"/>
      <c r="H37" s="22"/>
      <c r="I37" s="217"/>
      <c r="K37" s="138"/>
    </row>
    <row r="38" spans="1:11" ht="13.5" thickBot="1">
      <c r="A38" s="17">
        <v>12</v>
      </c>
      <c r="B38" s="16"/>
      <c r="C38" s="31" t="s">
        <v>476</v>
      </c>
      <c r="D38" s="31"/>
      <c r="E38" s="16"/>
      <c r="F38" s="16"/>
      <c r="G38" s="32"/>
      <c r="H38" s="22"/>
      <c r="I38" s="218">
        <f>I35*I36</f>
        <v>0.3411144825968851</v>
      </c>
      <c r="K38" s="222"/>
    </row>
    <row r="39" spans="1:9" ht="12.75">
      <c r="A39" s="17" t="s">
        <v>439</v>
      </c>
      <c r="B39" s="16"/>
      <c r="C39" s="31"/>
      <c r="D39" s="31"/>
      <c r="E39" s="16"/>
      <c r="F39" s="16"/>
      <c r="G39" s="29"/>
      <c r="H39" s="22"/>
      <c r="I39" s="217"/>
    </row>
    <row r="40" spans="1:9" ht="12.75">
      <c r="A40" s="204">
        <v>13</v>
      </c>
      <c r="C40" s="102" t="s">
        <v>460</v>
      </c>
      <c r="I40" s="216">
        <f>+I35-I38</f>
        <v>0.6334983248227868</v>
      </c>
    </row>
    <row r="41" ht="12.75">
      <c r="A41" s="227"/>
    </row>
    <row r="42" spans="1:9" ht="12.75">
      <c r="A42" s="17">
        <v>14</v>
      </c>
      <c r="B42" s="16"/>
      <c r="C42" s="31" t="s">
        <v>462</v>
      </c>
      <c r="D42" s="31"/>
      <c r="E42" s="16"/>
      <c r="F42" s="16"/>
      <c r="G42" s="32"/>
      <c r="H42" s="22"/>
      <c r="I42" s="224">
        <f>1/I40</f>
        <v>1.57853613942821</v>
      </c>
    </row>
    <row r="43" ht="12.75">
      <c r="A43" s="227"/>
    </row>
  </sheetData>
  <mergeCells count="2">
    <mergeCell ref="K8:M8"/>
    <mergeCell ref="G8:I8"/>
  </mergeCells>
  <printOptions horizontalCentered="1"/>
  <pageMargins left="0.25" right="0.25" top="1.25" bottom="0.25" header="0.5" footer="0.5"/>
  <pageSetup horizontalDpi="600" verticalDpi="600" orientation="landscape" scale="90" r:id="rId1"/>
  <headerFooter alignWithMargins="0">
    <oddFooter>&amp;LGUD No. 9731&amp;RFinal Order</oddFooter>
  </headerFooter>
</worksheet>
</file>

<file path=xl/worksheets/sheet20.xml><?xml version="1.0" encoding="utf-8"?>
<worksheet xmlns="http://schemas.openxmlformats.org/spreadsheetml/2006/main" xmlns:r="http://schemas.openxmlformats.org/officeDocument/2006/relationships">
  <sheetPr codeName="Sheet20">
    <tabColor indexed="43"/>
    <outlinePr summaryBelow="0" summaryRight="0"/>
  </sheetPr>
  <dimension ref="A1:G81"/>
  <sheetViews>
    <sheetView showOutlineSymbols="0" zoomScale="75" zoomScaleNormal="75" workbookViewId="0" topLeftCell="A1">
      <selection activeCell="A1" sqref="A1"/>
    </sheetView>
  </sheetViews>
  <sheetFormatPr defaultColWidth="9.140625" defaultRowHeight="12.75"/>
  <cols>
    <col min="1" max="1" width="5.00390625" style="253" customWidth="1"/>
    <col min="2" max="2" width="34.421875" style="253" customWidth="1"/>
    <col min="3" max="3" width="13.140625" style="253" customWidth="1"/>
    <col min="4" max="4" width="12.140625" style="253" customWidth="1"/>
    <col min="5" max="5" width="11.8515625" style="253" customWidth="1"/>
    <col min="6" max="6" width="12.00390625" style="253" customWidth="1"/>
    <col min="7" max="7" width="5.00390625" style="253" customWidth="1"/>
    <col min="8" max="8" width="4.421875" style="253" customWidth="1"/>
    <col min="9" max="16384" width="9.140625" style="253" customWidth="1"/>
  </cols>
  <sheetData>
    <row r="1" ht="13.5">
      <c r="A1" s="252" t="s">
        <v>53</v>
      </c>
    </row>
    <row r="2" ht="4.5" customHeight="1"/>
    <row r="3" spans="1:7" ht="17.25" customHeight="1">
      <c r="A3" s="322" t="s">
        <v>350</v>
      </c>
      <c r="B3" s="323"/>
      <c r="C3" s="324"/>
      <c r="D3" s="324"/>
      <c r="E3" s="324"/>
      <c r="F3" s="324"/>
      <c r="G3" s="323"/>
    </row>
    <row r="4" spans="1:7" ht="13.5" thickBot="1">
      <c r="A4" s="325" t="s">
        <v>351</v>
      </c>
      <c r="B4" s="323"/>
      <c r="C4" s="326"/>
      <c r="D4" s="326"/>
      <c r="E4" s="324"/>
      <c r="F4" s="324"/>
      <c r="G4" s="323"/>
    </row>
    <row r="5" spans="1:7" ht="12.75">
      <c r="A5" s="327" t="s">
        <v>486</v>
      </c>
      <c r="B5" s="328" t="s">
        <v>352</v>
      </c>
      <c r="C5" s="327" t="s">
        <v>353</v>
      </c>
      <c r="D5" s="327" t="s">
        <v>354</v>
      </c>
      <c r="E5" s="327" t="s">
        <v>355</v>
      </c>
      <c r="F5" s="327" t="s">
        <v>356</v>
      </c>
      <c r="G5" s="327" t="s">
        <v>486</v>
      </c>
    </row>
    <row r="6" spans="1:7" ht="12.75">
      <c r="A6" s="329" t="s">
        <v>552</v>
      </c>
      <c r="B6" s="330" t="s">
        <v>357</v>
      </c>
      <c r="C6" s="329" t="s">
        <v>358</v>
      </c>
      <c r="D6" s="329" t="s">
        <v>359</v>
      </c>
      <c r="E6" s="329" t="s">
        <v>499</v>
      </c>
      <c r="F6" s="329" t="s">
        <v>358</v>
      </c>
      <c r="G6" s="329" t="s">
        <v>552</v>
      </c>
    </row>
    <row r="7" spans="1:7" ht="13.5" thickBot="1">
      <c r="A7" s="331"/>
      <c r="B7" s="332" t="s">
        <v>360</v>
      </c>
      <c r="C7" s="331" t="s">
        <v>361</v>
      </c>
      <c r="D7" s="331" t="s">
        <v>362</v>
      </c>
      <c r="E7" s="331" t="s">
        <v>363</v>
      </c>
      <c r="F7" s="331" t="s">
        <v>364</v>
      </c>
      <c r="G7" s="331"/>
    </row>
    <row r="8" spans="1:7" ht="12.75" customHeight="1">
      <c r="A8" s="333" t="s">
        <v>439</v>
      </c>
      <c r="B8" s="334" t="s">
        <v>294</v>
      </c>
      <c r="C8" s="335"/>
      <c r="D8" s="336"/>
      <c r="E8" s="336"/>
      <c r="F8" s="336"/>
      <c r="G8" s="333" t="s">
        <v>439</v>
      </c>
    </row>
    <row r="9" spans="1:7" ht="12" customHeight="1">
      <c r="A9" s="337">
        <v>46</v>
      </c>
      <c r="B9" s="338" t="s">
        <v>295</v>
      </c>
      <c r="C9" s="417">
        <v>0</v>
      </c>
      <c r="D9" s="417">
        <v>0</v>
      </c>
      <c r="E9" s="417">
        <v>0</v>
      </c>
      <c r="F9" s="537">
        <v>0</v>
      </c>
      <c r="G9" s="337">
        <v>46</v>
      </c>
    </row>
    <row r="10" spans="1:7" ht="12" customHeight="1">
      <c r="A10" s="337">
        <f>A9+1</f>
        <v>47</v>
      </c>
      <c r="B10" s="338" t="s">
        <v>296</v>
      </c>
      <c r="C10" s="417"/>
      <c r="D10" s="417"/>
      <c r="E10" s="417"/>
      <c r="F10" s="537"/>
      <c r="G10" s="337">
        <f>G9+1</f>
        <v>47</v>
      </c>
    </row>
    <row r="11" spans="1:7" ht="12" customHeight="1">
      <c r="A11" s="337">
        <f>A10+1</f>
        <v>48</v>
      </c>
      <c r="B11" s="338" t="s">
        <v>297</v>
      </c>
      <c r="C11" s="417"/>
      <c r="D11" s="417"/>
      <c r="E11" s="417"/>
      <c r="F11" s="537"/>
      <c r="G11" s="337">
        <f>G10+1</f>
        <v>48</v>
      </c>
    </row>
    <row r="12" spans="1:7" ht="12" customHeight="1">
      <c r="A12" s="337">
        <v>49</v>
      </c>
      <c r="B12" s="338" t="s">
        <v>298</v>
      </c>
      <c r="C12" s="417"/>
      <c r="D12" s="417"/>
      <c r="E12" s="417"/>
      <c r="F12" s="537"/>
      <c r="G12" s="337">
        <v>49</v>
      </c>
    </row>
    <row r="13" spans="1:7" ht="12" customHeight="1">
      <c r="A13" s="337">
        <v>50</v>
      </c>
      <c r="B13" s="338" t="s">
        <v>299</v>
      </c>
      <c r="C13" s="417"/>
      <c r="D13" s="417"/>
      <c r="E13" s="417"/>
      <c r="F13" s="537"/>
      <c r="G13" s="337">
        <v>50</v>
      </c>
    </row>
    <row r="14" spans="1:7" ht="12" customHeight="1">
      <c r="A14" s="337">
        <v>51</v>
      </c>
      <c r="B14" s="338" t="s">
        <v>300</v>
      </c>
      <c r="C14" s="417"/>
      <c r="D14" s="417"/>
      <c r="E14" s="417"/>
      <c r="F14" s="537"/>
      <c r="G14" s="337">
        <v>51</v>
      </c>
    </row>
    <row r="15" spans="1:7" ht="12" customHeight="1" thickBot="1">
      <c r="A15" s="340">
        <v>52</v>
      </c>
      <c r="B15" s="338" t="s">
        <v>301</v>
      </c>
      <c r="C15" s="419"/>
      <c r="D15" s="419"/>
      <c r="E15" s="419"/>
      <c r="F15" s="538"/>
      <c r="G15" s="340">
        <v>52</v>
      </c>
    </row>
    <row r="16" spans="1:7" ht="12" customHeight="1">
      <c r="A16" s="340">
        <v>53</v>
      </c>
      <c r="B16" s="341" t="s">
        <v>335</v>
      </c>
      <c r="C16" s="342">
        <v>0</v>
      </c>
      <c r="D16" s="342">
        <v>0</v>
      </c>
      <c r="E16" s="342">
        <v>0</v>
      </c>
      <c r="F16" s="343">
        <v>0</v>
      </c>
      <c r="G16" s="340">
        <v>53</v>
      </c>
    </row>
    <row r="17" spans="1:7" ht="7.5" customHeight="1">
      <c r="A17" s="344"/>
      <c r="B17" s="335"/>
      <c r="C17" s="530"/>
      <c r="D17" s="530"/>
      <c r="E17" s="530"/>
      <c r="F17" s="530"/>
      <c r="G17" s="344"/>
    </row>
    <row r="18" spans="1:7" ht="12.75">
      <c r="A18" s="340">
        <v>54</v>
      </c>
      <c r="B18" s="345" t="s">
        <v>302</v>
      </c>
      <c r="C18" s="346">
        <v>0</v>
      </c>
      <c r="D18" s="346">
        <v>0</v>
      </c>
      <c r="E18" s="346">
        <v>0</v>
      </c>
      <c r="F18" s="347">
        <v>0</v>
      </c>
      <c r="G18" s="340">
        <v>54</v>
      </c>
    </row>
    <row r="19" spans="1:7" ht="7.5" customHeight="1">
      <c r="A19" s="348"/>
      <c r="B19" s="335"/>
      <c r="C19" s="532"/>
      <c r="D19" s="532"/>
      <c r="E19" s="532"/>
      <c r="F19" s="532"/>
      <c r="G19" s="348"/>
    </row>
    <row r="20" spans="1:7" ht="13.5" customHeight="1">
      <c r="A20" s="350" t="s">
        <v>439</v>
      </c>
      <c r="B20" s="351" t="s">
        <v>303</v>
      </c>
      <c r="C20" s="532"/>
      <c r="D20" s="532"/>
      <c r="E20" s="532"/>
      <c r="F20" s="532"/>
      <c r="G20" s="350" t="s">
        <v>439</v>
      </c>
    </row>
    <row r="21" spans="1:7" ht="12.75">
      <c r="A21" s="337">
        <v>55</v>
      </c>
      <c r="B21" s="338" t="s">
        <v>304</v>
      </c>
      <c r="C21" s="346" t="s">
        <v>305</v>
      </c>
      <c r="D21" s="346" t="s">
        <v>305</v>
      </c>
      <c r="E21" s="346" t="s">
        <v>305</v>
      </c>
      <c r="F21" s="347" t="s">
        <v>305</v>
      </c>
      <c r="G21" s="337">
        <v>55</v>
      </c>
    </row>
    <row r="22" spans="1:7" ht="12" customHeight="1">
      <c r="A22" s="337">
        <f aca="true" t="shared" si="0" ref="A22:A27">A21+1</f>
        <v>56</v>
      </c>
      <c r="B22" s="338" t="s">
        <v>306</v>
      </c>
      <c r="C22" s="346"/>
      <c r="D22" s="346"/>
      <c r="E22" s="346"/>
      <c r="F22" s="347"/>
      <c r="G22" s="337">
        <f aca="true" t="shared" si="1" ref="G22:G27">G21+1</f>
        <v>56</v>
      </c>
    </row>
    <row r="23" spans="1:7" ht="12" customHeight="1">
      <c r="A23" s="337">
        <f t="shared" si="0"/>
        <v>57</v>
      </c>
      <c r="B23" s="338" t="s">
        <v>307</v>
      </c>
      <c r="C23" s="346"/>
      <c r="D23" s="346"/>
      <c r="E23" s="346"/>
      <c r="F23" s="347"/>
      <c r="G23" s="337">
        <f t="shared" si="1"/>
        <v>57</v>
      </c>
    </row>
    <row r="24" spans="1:7" ht="12" customHeight="1">
      <c r="A24" s="337">
        <f t="shared" si="0"/>
        <v>58</v>
      </c>
      <c r="B24" s="338" t="s">
        <v>308</v>
      </c>
      <c r="C24" s="346"/>
      <c r="D24" s="346"/>
      <c r="E24" s="346"/>
      <c r="F24" s="347"/>
      <c r="G24" s="337">
        <f t="shared" si="1"/>
        <v>58</v>
      </c>
    </row>
    <row r="25" spans="1:7" ht="12" customHeight="1">
      <c r="A25" s="337">
        <f t="shared" si="0"/>
        <v>59</v>
      </c>
      <c r="B25" s="338" t="s">
        <v>309</v>
      </c>
      <c r="C25" s="346"/>
      <c r="D25" s="346"/>
      <c r="E25" s="346"/>
      <c r="F25" s="347"/>
      <c r="G25" s="337">
        <f t="shared" si="1"/>
        <v>59</v>
      </c>
    </row>
    <row r="26" spans="1:7" ht="12" customHeight="1">
      <c r="A26" s="337">
        <f t="shared" si="0"/>
        <v>60</v>
      </c>
      <c r="B26" s="338" t="s">
        <v>310</v>
      </c>
      <c r="C26" s="346"/>
      <c r="D26" s="346"/>
      <c r="E26" s="346"/>
      <c r="F26" s="347"/>
      <c r="G26" s="337">
        <f t="shared" si="1"/>
        <v>60</v>
      </c>
    </row>
    <row r="27" spans="1:7" ht="12" customHeight="1">
      <c r="A27" s="337">
        <f t="shared" si="0"/>
        <v>61</v>
      </c>
      <c r="B27" s="338" t="s">
        <v>311</v>
      </c>
      <c r="C27" s="346"/>
      <c r="D27" s="346"/>
      <c r="E27" s="346"/>
      <c r="F27" s="347"/>
      <c r="G27" s="337">
        <f t="shared" si="1"/>
        <v>61</v>
      </c>
    </row>
    <row r="28" spans="1:7" ht="12" customHeight="1" thickBot="1">
      <c r="A28" s="340">
        <v>62</v>
      </c>
      <c r="B28" s="338" t="s">
        <v>312</v>
      </c>
      <c r="C28" s="428"/>
      <c r="D28" s="428"/>
      <c r="E28" s="428"/>
      <c r="F28" s="420"/>
      <c r="G28" s="340">
        <v>62</v>
      </c>
    </row>
    <row r="29" spans="1:7" ht="12.75">
      <c r="A29" s="337">
        <v>63</v>
      </c>
      <c r="B29" s="338" t="s">
        <v>336</v>
      </c>
      <c r="C29" s="342">
        <v>0</v>
      </c>
      <c r="D29" s="342">
        <v>0</v>
      </c>
      <c r="E29" s="342">
        <v>0</v>
      </c>
      <c r="F29" s="343">
        <v>0</v>
      </c>
      <c r="G29" s="337">
        <v>63</v>
      </c>
    </row>
    <row r="30" spans="1:7" ht="13.5" customHeight="1">
      <c r="A30" s="353" t="s">
        <v>439</v>
      </c>
      <c r="B30" s="334" t="s">
        <v>420</v>
      </c>
      <c r="C30" s="529"/>
      <c r="D30" s="530"/>
      <c r="E30" s="530"/>
      <c r="F30" s="530"/>
      <c r="G30" s="353" t="s">
        <v>439</v>
      </c>
    </row>
    <row r="31" spans="1:7" ht="12" customHeight="1">
      <c r="A31" s="337">
        <v>64</v>
      </c>
      <c r="B31" s="338" t="s">
        <v>558</v>
      </c>
      <c r="C31" s="346">
        <f>1465+250</f>
        <v>1715</v>
      </c>
      <c r="D31" s="346">
        <f>F31-C31-E31</f>
        <v>0</v>
      </c>
      <c r="E31" s="346">
        <v>3000</v>
      </c>
      <c r="F31" s="347">
        <v>4715</v>
      </c>
      <c r="G31" s="337">
        <v>64</v>
      </c>
    </row>
    <row r="32" spans="1:7" ht="12" customHeight="1">
      <c r="A32" s="337">
        <f aca="true" t="shared" si="2" ref="A32:A38">A31+1</f>
        <v>65</v>
      </c>
      <c r="B32" s="338" t="s">
        <v>313</v>
      </c>
      <c r="C32" s="346"/>
      <c r="D32" s="346"/>
      <c r="E32" s="346"/>
      <c r="F32" s="347"/>
      <c r="G32" s="337">
        <f aca="true" t="shared" si="3" ref="G32:G38">G31+1</f>
        <v>65</v>
      </c>
    </row>
    <row r="33" spans="1:7" ht="12" customHeight="1">
      <c r="A33" s="337">
        <f t="shared" si="2"/>
        <v>66</v>
      </c>
      <c r="B33" s="338" t="s">
        <v>559</v>
      </c>
      <c r="C33" s="346">
        <v>1729140.39</v>
      </c>
      <c r="D33" s="346">
        <f>F33-C33-E33</f>
        <v>256885.70000000042</v>
      </c>
      <c r="E33" s="346">
        <f>759864.84+105406.62</f>
        <v>865271.46</v>
      </c>
      <c r="F33" s="347">
        <f>2529417.66+26618.52+295261.37</f>
        <v>2851297.5500000003</v>
      </c>
      <c r="G33" s="337">
        <f t="shared" si="3"/>
        <v>66</v>
      </c>
    </row>
    <row r="34" spans="1:7" ht="12" customHeight="1">
      <c r="A34" s="337">
        <f t="shared" si="2"/>
        <v>67</v>
      </c>
      <c r="B34" s="338" t="s">
        <v>314</v>
      </c>
      <c r="C34" s="346"/>
      <c r="D34" s="346"/>
      <c r="E34" s="346"/>
      <c r="F34" s="347"/>
      <c r="G34" s="337">
        <f t="shared" si="3"/>
        <v>67</v>
      </c>
    </row>
    <row r="35" spans="1:7" ht="12" customHeight="1">
      <c r="A35" s="337">
        <f t="shared" si="2"/>
        <v>68</v>
      </c>
      <c r="B35" s="338" t="s">
        <v>315</v>
      </c>
      <c r="C35" s="346">
        <v>89012</v>
      </c>
      <c r="D35" s="346">
        <f>F35-C35-E35</f>
        <v>1279.7799999999697</v>
      </c>
      <c r="E35" s="346">
        <f>225000+7149.01</f>
        <v>232149.01</v>
      </c>
      <c r="F35" s="347">
        <v>322440.79</v>
      </c>
      <c r="G35" s="337">
        <f t="shared" si="3"/>
        <v>68</v>
      </c>
    </row>
    <row r="36" spans="1:7" ht="12" customHeight="1">
      <c r="A36" s="337">
        <f t="shared" si="2"/>
        <v>69</v>
      </c>
      <c r="B36" s="338" t="s">
        <v>540</v>
      </c>
      <c r="C36" s="346">
        <v>306613.33</v>
      </c>
      <c r="D36" s="346">
        <f>F36-C36-E36</f>
        <v>184728.52999999997</v>
      </c>
      <c r="E36" s="346">
        <f>9901.25+1031.43</f>
        <v>10932.68</v>
      </c>
      <c r="F36" s="347">
        <v>502274.54</v>
      </c>
      <c r="G36" s="337">
        <f t="shared" si="3"/>
        <v>69</v>
      </c>
    </row>
    <row r="37" spans="1:7" ht="12" customHeight="1">
      <c r="A37" s="337">
        <f t="shared" si="2"/>
        <v>70</v>
      </c>
      <c r="B37" s="338" t="s">
        <v>541</v>
      </c>
      <c r="C37" s="346">
        <v>153060.04</v>
      </c>
      <c r="D37" s="346">
        <f>F37-C37-E37</f>
        <v>52348.679999999986</v>
      </c>
      <c r="E37" s="346">
        <f>12350+6650+15149+7575.93</f>
        <v>41724.93</v>
      </c>
      <c r="F37" s="347">
        <f>178629.53+68504.12</f>
        <v>247133.65</v>
      </c>
      <c r="G37" s="337">
        <f t="shared" si="3"/>
        <v>70</v>
      </c>
    </row>
    <row r="38" spans="1:7" ht="12" customHeight="1">
      <c r="A38" s="337">
        <f t="shared" si="2"/>
        <v>71</v>
      </c>
      <c r="B38" s="338" t="s">
        <v>316</v>
      </c>
      <c r="C38" s="346"/>
      <c r="D38" s="346"/>
      <c r="E38" s="346"/>
      <c r="F38" s="347"/>
      <c r="G38" s="337">
        <f t="shared" si="3"/>
        <v>71</v>
      </c>
    </row>
    <row r="39" spans="1:7" ht="12" customHeight="1">
      <c r="A39" s="337">
        <v>72</v>
      </c>
      <c r="B39" s="338" t="s">
        <v>317</v>
      </c>
      <c r="C39" s="346"/>
      <c r="D39" s="346"/>
      <c r="E39" s="346"/>
      <c r="F39" s="347"/>
      <c r="G39" s="337">
        <v>72</v>
      </c>
    </row>
    <row r="40" spans="1:7" ht="12" customHeight="1" thickBot="1">
      <c r="A40" s="340">
        <v>73</v>
      </c>
      <c r="B40" s="338" t="s">
        <v>318</v>
      </c>
      <c r="C40" s="428"/>
      <c r="D40" s="428"/>
      <c r="E40" s="428"/>
      <c r="F40" s="420"/>
      <c r="G40" s="340">
        <v>73</v>
      </c>
    </row>
    <row r="41" spans="1:7" ht="12" customHeight="1">
      <c r="A41" s="337">
        <v>74</v>
      </c>
      <c r="B41" s="338" t="s">
        <v>337</v>
      </c>
      <c r="C41" s="342">
        <f>SUM(C31:C40)</f>
        <v>2279540.76</v>
      </c>
      <c r="D41" s="342">
        <f>SUM(D31:D40)</f>
        <v>495242.69000000035</v>
      </c>
      <c r="E41" s="342">
        <f>SUM(E31:E40)</f>
        <v>1153078.0799999998</v>
      </c>
      <c r="F41" s="342">
        <f>SUM(F31:F40)</f>
        <v>3927861.5300000003</v>
      </c>
      <c r="G41" s="337">
        <v>74</v>
      </c>
    </row>
    <row r="42" spans="1:7" ht="14.25" customHeight="1">
      <c r="A42" s="353" t="s">
        <v>439</v>
      </c>
      <c r="B42" s="334" t="s">
        <v>421</v>
      </c>
      <c r="C42" s="529"/>
      <c r="D42" s="530"/>
      <c r="E42" s="530"/>
      <c r="F42" s="530"/>
      <c r="G42" s="353" t="s">
        <v>439</v>
      </c>
    </row>
    <row r="43" spans="1:7" ht="12" customHeight="1">
      <c r="A43" s="337">
        <v>75</v>
      </c>
      <c r="B43" s="338" t="s">
        <v>562</v>
      </c>
      <c r="C43" s="346">
        <v>150</v>
      </c>
      <c r="D43" s="346">
        <v>0</v>
      </c>
      <c r="E43" s="346">
        <v>0</v>
      </c>
      <c r="F43" s="347">
        <f>C43+D43+E43</f>
        <v>150</v>
      </c>
      <c r="G43" s="337">
        <v>75</v>
      </c>
    </row>
    <row r="44" spans="1:7" ht="12" customHeight="1">
      <c r="A44" s="337">
        <f aca="true" t="shared" si="4" ref="A44:A49">A43+1</f>
        <v>76</v>
      </c>
      <c r="B44" s="338" t="s">
        <v>319</v>
      </c>
      <c r="C44" s="346"/>
      <c r="D44" s="346"/>
      <c r="E44" s="346"/>
      <c r="F44" s="347"/>
      <c r="G44" s="337">
        <f aca="true" t="shared" si="5" ref="G44:G49">G43+1</f>
        <v>76</v>
      </c>
    </row>
    <row r="45" spans="1:7" ht="12" customHeight="1">
      <c r="A45" s="337">
        <f t="shared" si="4"/>
        <v>77</v>
      </c>
      <c r="B45" s="338" t="s">
        <v>563</v>
      </c>
      <c r="C45" s="346">
        <v>3975.45</v>
      </c>
      <c r="D45" s="346">
        <v>0</v>
      </c>
      <c r="E45" s="346">
        <v>0</v>
      </c>
      <c r="F45" s="347">
        <f>C45+D45+E45</f>
        <v>3975.45</v>
      </c>
      <c r="G45" s="337">
        <f t="shared" si="5"/>
        <v>77</v>
      </c>
    </row>
    <row r="46" spans="1:7" ht="12" customHeight="1">
      <c r="A46" s="337">
        <f t="shared" si="4"/>
        <v>78</v>
      </c>
      <c r="B46" s="338" t="s">
        <v>320</v>
      </c>
      <c r="C46" s="346"/>
      <c r="D46" s="346"/>
      <c r="E46" s="346"/>
      <c r="F46" s="347"/>
      <c r="G46" s="337">
        <f t="shared" si="5"/>
        <v>78</v>
      </c>
    </row>
    <row r="47" spans="1:7" ht="12" customHeight="1">
      <c r="A47" s="337">
        <f t="shared" si="4"/>
        <v>79</v>
      </c>
      <c r="B47" s="338" t="s">
        <v>321</v>
      </c>
      <c r="C47" s="346">
        <v>478.71</v>
      </c>
      <c r="D47" s="346">
        <v>0</v>
      </c>
      <c r="E47" s="346">
        <v>0</v>
      </c>
      <c r="F47" s="347">
        <f>C47+D47+E47</f>
        <v>478.71</v>
      </c>
      <c r="G47" s="337">
        <f t="shared" si="5"/>
        <v>79</v>
      </c>
    </row>
    <row r="48" spans="1:7" ht="12" customHeight="1">
      <c r="A48" s="337">
        <f t="shared" si="4"/>
        <v>80</v>
      </c>
      <c r="B48" s="338" t="s">
        <v>322</v>
      </c>
      <c r="C48" s="346"/>
      <c r="D48" s="346"/>
      <c r="E48" s="346"/>
      <c r="F48" s="347"/>
      <c r="G48" s="337">
        <f t="shared" si="5"/>
        <v>80</v>
      </c>
    </row>
    <row r="49" spans="1:7" ht="12" customHeight="1">
      <c r="A49" s="337">
        <f t="shared" si="4"/>
        <v>81</v>
      </c>
      <c r="B49" s="338" t="s">
        <v>323</v>
      </c>
      <c r="C49" s="346">
        <v>5843.93</v>
      </c>
      <c r="D49" s="346">
        <f>F49-C49</f>
        <v>4500</v>
      </c>
      <c r="E49" s="346">
        <v>0</v>
      </c>
      <c r="F49" s="347">
        <v>10343.93</v>
      </c>
      <c r="G49" s="337">
        <f t="shared" si="5"/>
        <v>81</v>
      </c>
    </row>
    <row r="50" spans="1:7" ht="12" customHeight="1" thickBot="1">
      <c r="A50" s="340">
        <v>82</v>
      </c>
      <c r="B50" s="338" t="s">
        <v>324</v>
      </c>
      <c r="C50" s="428"/>
      <c r="D50" s="428"/>
      <c r="E50" s="428"/>
      <c r="F50" s="420"/>
      <c r="G50" s="340">
        <v>82</v>
      </c>
    </row>
    <row r="51" spans="1:7" ht="12" customHeight="1" thickBot="1">
      <c r="A51" s="337">
        <v>83</v>
      </c>
      <c r="B51" s="354" t="s">
        <v>231</v>
      </c>
      <c r="C51" s="355">
        <f>SUM(C43:C50)</f>
        <v>10448.09</v>
      </c>
      <c r="D51" s="355">
        <f>SUM(D43:D50)</f>
        <v>4500</v>
      </c>
      <c r="E51" s="355">
        <f>SUM(E43:E50)</f>
        <v>0</v>
      </c>
      <c r="F51" s="355">
        <f>SUM(F43:F50)</f>
        <v>14948.09</v>
      </c>
      <c r="G51" s="337">
        <v>83</v>
      </c>
    </row>
    <row r="52" spans="1:7" ht="12" customHeight="1" thickBot="1">
      <c r="A52" s="337">
        <f>A51+1</f>
        <v>84</v>
      </c>
      <c r="B52" s="328" t="s">
        <v>325</v>
      </c>
      <c r="C52" s="356">
        <f>'WP1 Sch B-1'!C9+'WP2 Sch B-1'!C41+'WP2 Sch B-1'!C51</f>
        <v>2290288.8499999996</v>
      </c>
      <c r="D52" s="356">
        <f>'WP1 Sch B-1'!D9+'WP2 Sch B-1'!D41+'WP2 Sch B-1'!D51</f>
        <v>499742.69000000035</v>
      </c>
      <c r="E52" s="356">
        <f>'WP1 Sch B-1'!E9+'WP2 Sch B-1'!E41+'WP2 Sch B-1'!E51</f>
        <v>1153078.0799999998</v>
      </c>
      <c r="F52" s="356">
        <f>'WP1 Sch B-1'!F9+'WP2 Sch B-1'!F41+'WP2 Sch B-1'!F51</f>
        <v>3943109.62</v>
      </c>
      <c r="G52" s="337">
        <f>G51+1</f>
        <v>84</v>
      </c>
    </row>
    <row r="53" spans="1:7" ht="12" customHeight="1" thickBot="1">
      <c r="A53" s="350" t="s">
        <v>439</v>
      </c>
      <c r="B53" s="357" t="s">
        <v>326</v>
      </c>
      <c r="C53" s="539"/>
      <c r="D53" s="539"/>
      <c r="E53" s="539"/>
      <c r="F53" s="539"/>
      <c r="G53" s="350" t="s">
        <v>439</v>
      </c>
    </row>
    <row r="54" spans="1:7" ht="13.5" customHeight="1">
      <c r="A54" s="350" t="s">
        <v>439</v>
      </c>
      <c r="B54" s="358" t="s">
        <v>327</v>
      </c>
      <c r="C54" s="540"/>
      <c r="D54" s="541"/>
      <c r="E54" s="541"/>
      <c r="F54" s="541"/>
      <c r="G54" s="350" t="s">
        <v>439</v>
      </c>
    </row>
    <row r="55" spans="1:7" ht="12.75">
      <c r="A55" s="337">
        <v>85</v>
      </c>
      <c r="B55" s="338" t="s">
        <v>328</v>
      </c>
      <c r="C55" s="346" t="s">
        <v>305</v>
      </c>
      <c r="D55" s="346" t="s">
        <v>305</v>
      </c>
      <c r="E55" s="346" t="s">
        <v>305</v>
      </c>
      <c r="F55" s="347" t="s">
        <v>305</v>
      </c>
      <c r="G55" s="337">
        <v>85</v>
      </c>
    </row>
    <row r="56" spans="1:7" ht="12.75">
      <c r="A56" s="337">
        <f>A55+1</f>
        <v>86</v>
      </c>
      <c r="B56" s="338" t="s">
        <v>329</v>
      </c>
      <c r="C56" s="346"/>
      <c r="D56" s="346"/>
      <c r="E56" s="346"/>
      <c r="F56" s="347"/>
      <c r="G56" s="337">
        <f>G55+1</f>
        <v>86</v>
      </c>
    </row>
    <row r="57" spans="1:7" ht="12.75">
      <c r="A57" s="337">
        <f>A56+1</f>
        <v>87</v>
      </c>
      <c r="B57" s="338" t="s">
        <v>330</v>
      </c>
      <c r="C57" s="346"/>
      <c r="D57" s="346"/>
      <c r="E57" s="346"/>
      <c r="F57" s="347"/>
      <c r="G57" s="337">
        <f>G56+1</f>
        <v>87</v>
      </c>
    </row>
    <row r="58" spans="1:7" ht="13.5" thickBot="1">
      <c r="A58" s="337">
        <f>A57+1</f>
        <v>88</v>
      </c>
      <c r="B58" s="338" t="s">
        <v>331</v>
      </c>
      <c r="C58" s="346"/>
      <c r="D58" s="346"/>
      <c r="E58" s="346"/>
      <c r="F58" s="347"/>
      <c r="G58" s="337">
        <f>G57+1</f>
        <v>88</v>
      </c>
    </row>
    <row r="59" spans="1:7" ht="13.5" thickBot="1">
      <c r="A59" s="361">
        <f>A58+1</f>
        <v>89</v>
      </c>
      <c r="B59" s="362" t="s">
        <v>232</v>
      </c>
      <c r="C59" s="363">
        <f>C52</f>
        <v>2290288.8499999996</v>
      </c>
      <c r="D59" s="363">
        <f>D52</f>
        <v>499742.69000000035</v>
      </c>
      <c r="E59" s="363">
        <f>E52</f>
        <v>1153078.0799999998</v>
      </c>
      <c r="F59" s="363">
        <f>F52</f>
        <v>3943109.62</v>
      </c>
      <c r="G59" s="361">
        <f>G58+1</f>
        <v>89</v>
      </c>
    </row>
    <row r="60" spans="1:7" ht="12.75">
      <c r="A60" s="364"/>
      <c r="B60" s="365" t="s">
        <v>233</v>
      </c>
      <c r="C60" s="366"/>
      <c r="D60" s="366"/>
      <c r="E60" s="366"/>
      <c r="F60" s="366"/>
      <c r="G60" s="367"/>
    </row>
    <row r="61" spans="1:7" ht="15" customHeight="1">
      <c r="A61" s="368" t="s">
        <v>332</v>
      </c>
      <c r="B61" s="326"/>
      <c r="C61" s="324"/>
      <c r="D61" s="324"/>
      <c r="E61" s="324"/>
      <c r="F61" s="326"/>
      <c r="G61" s="369"/>
    </row>
    <row r="62" spans="1:6" ht="12.75">
      <c r="A62" s="370"/>
      <c r="B62" s="371"/>
      <c r="C62" s="371"/>
      <c r="D62" s="371"/>
      <c r="E62" s="371"/>
      <c r="F62" s="371"/>
    </row>
    <row r="63" spans="1:6" ht="12.75">
      <c r="A63" s="370"/>
      <c r="B63" s="371"/>
      <c r="C63" s="371"/>
      <c r="D63" s="371"/>
      <c r="E63" s="371"/>
      <c r="F63" s="371"/>
    </row>
    <row r="64" spans="1:6" ht="12.75">
      <c r="A64" s="370"/>
      <c r="B64" s="372"/>
      <c r="C64" s="371"/>
      <c r="D64" s="371"/>
      <c r="E64" s="371"/>
      <c r="F64" s="371"/>
    </row>
    <row r="65" spans="1:6" ht="12.75">
      <c r="A65" s="370"/>
      <c r="B65" s="371"/>
      <c r="C65" s="371"/>
      <c r="D65" s="371"/>
      <c r="E65" s="371"/>
      <c r="F65" s="371"/>
    </row>
    <row r="66" spans="1:6" ht="12.75">
      <c r="A66" s="370"/>
      <c r="B66" s="371"/>
      <c r="C66" s="371"/>
      <c r="D66" s="371"/>
      <c r="E66" s="371"/>
      <c r="F66" s="371"/>
    </row>
    <row r="67" spans="1:6" ht="12.75">
      <c r="A67" s="370"/>
      <c r="B67" s="371"/>
      <c r="C67" s="371"/>
      <c r="D67" s="371"/>
      <c r="E67" s="371"/>
      <c r="F67" s="371"/>
    </row>
    <row r="68" spans="1:6" ht="12.75">
      <c r="A68" s="370"/>
      <c r="B68" s="371"/>
      <c r="C68" s="371"/>
      <c r="D68" s="371"/>
      <c r="E68" s="371"/>
      <c r="F68" s="371"/>
    </row>
    <row r="69" spans="1:6" ht="12.75">
      <c r="A69" s="370"/>
      <c r="B69" s="371"/>
      <c r="C69" s="371"/>
      <c r="D69" s="371"/>
      <c r="E69" s="371"/>
      <c r="F69" s="371"/>
    </row>
    <row r="70" spans="1:6" ht="12.75">
      <c r="A70" s="370"/>
      <c r="B70" s="371"/>
      <c r="C70" s="371"/>
      <c r="D70" s="371"/>
      <c r="E70" s="371"/>
      <c r="F70" s="371"/>
    </row>
    <row r="71" spans="1:6" ht="12.75">
      <c r="A71" s="370"/>
      <c r="B71" s="371"/>
      <c r="C71" s="371"/>
      <c r="D71" s="371"/>
      <c r="E71" s="371"/>
      <c r="F71" s="371"/>
    </row>
    <row r="72" spans="1:6" ht="12.75">
      <c r="A72" s="370"/>
      <c r="B72" s="371"/>
      <c r="C72" s="371"/>
      <c r="D72" s="371"/>
      <c r="E72" s="371"/>
      <c r="F72" s="371"/>
    </row>
    <row r="73" spans="1:6" ht="12.75">
      <c r="A73" s="370"/>
      <c r="B73" s="371"/>
      <c r="C73" s="371"/>
      <c r="D73" s="371"/>
      <c r="E73" s="371"/>
      <c r="F73" s="371"/>
    </row>
    <row r="74" spans="1:6" ht="12.75">
      <c r="A74" s="370"/>
      <c r="B74" s="371"/>
      <c r="C74" s="371"/>
      <c r="D74" s="371"/>
      <c r="E74" s="371"/>
      <c r="F74" s="371"/>
    </row>
    <row r="75" spans="1:6" ht="12.75">
      <c r="A75" s="370"/>
      <c r="B75" s="371"/>
      <c r="C75" s="371"/>
      <c r="D75" s="371"/>
      <c r="E75" s="371"/>
      <c r="F75" s="371"/>
    </row>
    <row r="76" spans="1:6" ht="12.75">
      <c r="A76" s="370"/>
      <c r="B76" s="371"/>
      <c r="C76" s="371"/>
      <c r="D76" s="371"/>
      <c r="E76" s="371"/>
      <c r="F76" s="371"/>
    </row>
    <row r="77" spans="1:6" ht="12.75">
      <c r="A77" s="370"/>
      <c r="B77" s="371"/>
      <c r="C77" s="371"/>
      <c r="D77" s="371"/>
      <c r="E77" s="371"/>
      <c r="F77" s="371"/>
    </row>
    <row r="78" spans="1:6" ht="12.75">
      <c r="A78" s="370"/>
      <c r="B78" s="371"/>
      <c r="C78" s="371"/>
      <c r="D78" s="371"/>
      <c r="E78" s="371"/>
      <c r="F78" s="371"/>
    </row>
    <row r="79" spans="1:6" ht="12.75">
      <c r="A79" s="370"/>
      <c r="B79" s="371"/>
      <c r="C79" s="371"/>
      <c r="D79" s="371"/>
      <c r="E79" s="371"/>
      <c r="F79" s="371"/>
    </row>
    <row r="80" spans="1:6" ht="12.75">
      <c r="A80" s="370"/>
      <c r="B80" s="371"/>
      <c r="C80" s="371"/>
      <c r="D80" s="371"/>
      <c r="E80" s="371"/>
      <c r="F80" s="371"/>
    </row>
    <row r="81" spans="1:6" ht="12.75">
      <c r="A81" s="370"/>
      <c r="B81" s="371"/>
      <c r="C81" s="371"/>
      <c r="D81" s="371"/>
      <c r="E81" s="371"/>
      <c r="F81" s="371"/>
    </row>
  </sheetData>
  <printOptions/>
  <pageMargins left="0.72" right="0.25" top="0.25" bottom="0" header="0.48" footer="0.23"/>
  <pageSetup horizontalDpi="300" verticalDpi="300" orientation="portrait" r:id="rId1"/>
</worksheet>
</file>

<file path=xl/worksheets/sheet21.xml><?xml version="1.0" encoding="utf-8"?>
<worksheet xmlns="http://schemas.openxmlformats.org/spreadsheetml/2006/main" xmlns:r="http://schemas.openxmlformats.org/officeDocument/2006/relationships">
  <sheetPr codeName="Sheet21">
    <tabColor indexed="43"/>
    <outlinePr summaryBelow="0" summaryRight="0"/>
  </sheetPr>
  <dimension ref="A1:I85"/>
  <sheetViews>
    <sheetView showOutlineSymbols="0" zoomScale="75" zoomScaleNormal="75" workbookViewId="0" topLeftCell="A1">
      <selection activeCell="A1" sqref="A1"/>
    </sheetView>
  </sheetViews>
  <sheetFormatPr defaultColWidth="9.140625" defaultRowHeight="12.75"/>
  <cols>
    <col min="1" max="1" width="3.421875" style="253" customWidth="1"/>
    <col min="2" max="2" width="30.28125" style="253" customWidth="1"/>
    <col min="3" max="3" width="7.421875" style="253" customWidth="1"/>
    <col min="4" max="4" width="12.7109375" style="253" customWidth="1"/>
    <col min="5" max="6" width="12.00390625" style="253" customWidth="1"/>
    <col min="7" max="7" width="12.7109375" style="253" customWidth="1"/>
    <col min="8" max="8" width="3.421875" style="253" customWidth="1"/>
    <col min="9" max="9" width="0" style="253" hidden="1" customWidth="1"/>
    <col min="10" max="16384" width="9.140625" style="253" customWidth="1"/>
  </cols>
  <sheetData>
    <row r="1" ht="11.25" customHeight="1">
      <c r="A1" s="252" t="s">
        <v>53</v>
      </c>
    </row>
    <row r="2" ht="3" customHeight="1"/>
    <row r="3" spans="1:9" ht="16.5" customHeight="1">
      <c r="A3" s="373" t="s">
        <v>27</v>
      </c>
      <c r="B3" s="323"/>
      <c r="C3" s="324"/>
      <c r="D3" s="324"/>
      <c r="E3" s="324"/>
      <c r="F3" s="324"/>
      <c r="G3" s="324"/>
      <c r="H3" s="324"/>
      <c r="I3" s="371"/>
    </row>
    <row r="4" spans="1:9" ht="13.5" customHeight="1">
      <c r="A4" s="483" t="s">
        <v>28</v>
      </c>
      <c r="B4" s="369"/>
      <c r="C4" s="326"/>
      <c r="D4" s="326"/>
      <c r="E4" s="326"/>
      <c r="F4" s="326"/>
      <c r="G4" s="326"/>
      <c r="H4" s="326"/>
      <c r="I4" s="371"/>
    </row>
    <row r="5" spans="1:9" ht="13.5" customHeight="1" thickBot="1">
      <c r="A5" s="484" t="s">
        <v>29</v>
      </c>
      <c r="B5" s="369"/>
      <c r="C5" s="326"/>
      <c r="D5" s="326"/>
      <c r="E5" s="326"/>
      <c r="F5" s="326"/>
      <c r="G5" s="326"/>
      <c r="H5" s="326"/>
      <c r="I5" s="371"/>
    </row>
    <row r="6" spans="1:9" ht="12.75">
      <c r="A6" s="485" t="s">
        <v>486</v>
      </c>
      <c r="B6" s="328" t="s">
        <v>30</v>
      </c>
      <c r="C6" s="327" t="s">
        <v>457</v>
      </c>
      <c r="D6" s="327" t="s">
        <v>353</v>
      </c>
      <c r="E6" s="327" t="s">
        <v>31</v>
      </c>
      <c r="F6" s="327" t="s">
        <v>32</v>
      </c>
      <c r="G6" s="327" t="s">
        <v>356</v>
      </c>
      <c r="H6" s="485" t="s">
        <v>486</v>
      </c>
      <c r="I6" s="371"/>
    </row>
    <row r="7" spans="1:9" ht="11.25" customHeight="1">
      <c r="A7" s="486" t="s">
        <v>552</v>
      </c>
      <c r="B7" s="330" t="s">
        <v>33</v>
      </c>
      <c r="C7" s="329" t="s">
        <v>34</v>
      </c>
      <c r="D7" s="329" t="s">
        <v>358</v>
      </c>
      <c r="E7" s="329" t="s">
        <v>35</v>
      </c>
      <c r="F7" s="329" t="s">
        <v>499</v>
      </c>
      <c r="G7" s="329" t="s">
        <v>358</v>
      </c>
      <c r="H7" s="486" t="s">
        <v>552</v>
      </c>
      <c r="I7" s="371"/>
    </row>
    <row r="8" spans="1:9" ht="11.25" customHeight="1" thickBot="1">
      <c r="A8" s="331"/>
      <c r="B8" s="332" t="s">
        <v>360</v>
      </c>
      <c r="C8" s="331" t="s">
        <v>361</v>
      </c>
      <c r="D8" s="331" t="s">
        <v>362</v>
      </c>
      <c r="E8" s="331" t="s">
        <v>363</v>
      </c>
      <c r="F8" s="331" t="s">
        <v>364</v>
      </c>
      <c r="G8" s="331" t="s">
        <v>36</v>
      </c>
      <c r="H8" s="331"/>
      <c r="I8" s="371"/>
    </row>
    <row r="9" spans="1:9" ht="11.25" customHeight="1">
      <c r="A9" s="487" t="s">
        <v>439</v>
      </c>
      <c r="B9" s="488" t="s">
        <v>294</v>
      </c>
      <c r="C9" s="489"/>
      <c r="D9" s="490"/>
      <c r="E9" s="490"/>
      <c r="F9" s="490"/>
      <c r="G9" s="491"/>
      <c r="H9" s="333" t="s">
        <v>439</v>
      </c>
      <c r="I9" s="371"/>
    </row>
    <row r="10" spans="1:9" ht="12.75">
      <c r="A10" s="337">
        <v>46</v>
      </c>
      <c r="B10" s="492" t="s">
        <v>295</v>
      </c>
      <c r="C10" s="352"/>
      <c r="D10" s="417" t="s">
        <v>305</v>
      </c>
      <c r="E10" s="417" t="s">
        <v>305</v>
      </c>
      <c r="F10" s="417" t="s">
        <v>305</v>
      </c>
      <c r="G10" s="493" t="s">
        <v>305</v>
      </c>
      <c r="H10" s="337">
        <v>46</v>
      </c>
      <c r="I10" s="371"/>
    </row>
    <row r="11" spans="1:9" ht="12" customHeight="1">
      <c r="A11" s="337">
        <f aca="true" t="shared" si="0" ref="A11:A17">A10+1</f>
        <v>47</v>
      </c>
      <c r="B11" s="492" t="s">
        <v>296</v>
      </c>
      <c r="C11" s="352"/>
      <c r="D11" s="346"/>
      <c r="E11" s="346"/>
      <c r="F11" s="346"/>
      <c r="G11" s="547"/>
      <c r="H11" s="337">
        <f>H10+1</f>
        <v>47</v>
      </c>
      <c r="I11" s="371"/>
    </row>
    <row r="12" spans="1:9" ht="12" customHeight="1">
      <c r="A12" s="337">
        <f t="shared" si="0"/>
        <v>48</v>
      </c>
      <c r="B12" s="492" t="s">
        <v>37</v>
      </c>
      <c r="C12" s="352"/>
      <c r="D12" s="346"/>
      <c r="E12" s="346"/>
      <c r="F12" s="346"/>
      <c r="G12" s="547"/>
      <c r="H12" s="337">
        <f>H11+1</f>
        <v>48</v>
      </c>
      <c r="I12" s="371"/>
    </row>
    <row r="13" spans="1:9" ht="12" customHeight="1">
      <c r="A13" s="337">
        <f t="shared" si="0"/>
        <v>49</v>
      </c>
      <c r="B13" s="492" t="s">
        <v>38</v>
      </c>
      <c r="C13" s="352"/>
      <c r="D13" s="346"/>
      <c r="E13" s="346"/>
      <c r="F13" s="346"/>
      <c r="G13" s="547"/>
      <c r="H13" s="337">
        <v>49</v>
      </c>
      <c r="I13" s="371"/>
    </row>
    <row r="14" spans="1:9" ht="12" customHeight="1">
      <c r="A14" s="337">
        <f t="shared" si="0"/>
        <v>50</v>
      </c>
      <c r="B14" s="492" t="s">
        <v>39</v>
      </c>
      <c r="C14" s="352"/>
      <c r="D14" s="346"/>
      <c r="E14" s="346"/>
      <c r="F14" s="346"/>
      <c r="G14" s="547"/>
      <c r="H14" s="337">
        <v>50</v>
      </c>
      <c r="I14" s="371"/>
    </row>
    <row r="15" spans="1:9" ht="12" customHeight="1">
      <c r="A15" s="337">
        <f t="shared" si="0"/>
        <v>51</v>
      </c>
      <c r="B15" s="492" t="s">
        <v>300</v>
      </c>
      <c r="C15" s="352"/>
      <c r="D15" s="346"/>
      <c r="E15" s="346"/>
      <c r="F15" s="346"/>
      <c r="G15" s="547"/>
      <c r="H15" s="337">
        <v>51</v>
      </c>
      <c r="I15" s="371"/>
    </row>
    <row r="16" spans="1:9" ht="12" customHeight="1" thickBot="1">
      <c r="A16" s="337">
        <f t="shared" si="0"/>
        <v>52</v>
      </c>
      <c r="B16" s="492" t="s">
        <v>301</v>
      </c>
      <c r="C16" s="352"/>
      <c r="D16" s="528"/>
      <c r="E16" s="528"/>
      <c r="F16" s="528"/>
      <c r="G16" s="548"/>
      <c r="H16" s="340">
        <v>52</v>
      </c>
      <c r="I16" s="371"/>
    </row>
    <row r="17" spans="1:9" ht="12.75">
      <c r="A17" s="337">
        <f t="shared" si="0"/>
        <v>53</v>
      </c>
      <c r="B17" s="750" t="s">
        <v>44</v>
      </c>
      <c r="C17" s="751"/>
      <c r="D17" s="355">
        <v>0</v>
      </c>
      <c r="E17" s="355">
        <v>0</v>
      </c>
      <c r="F17" s="355">
        <v>0</v>
      </c>
      <c r="G17" s="494">
        <v>0</v>
      </c>
      <c r="H17" s="340">
        <v>53</v>
      </c>
      <c r="I17" s="371"/>
    </row>
    <row r="18" spans="1:9" ht="7.5" customHeight="1">
      <c r="A18" s="344"/>
      <c r="B18" s="336"/>
      <c r="C18" s="336"/>
      <c r="D18" s="530"/>
      <c r="E18" s="530"/>
      <c r="F18" s="530"/>
      <c r="G18" s="549"/>
      <c r="H18" s="344"/>
      <c r="I18" s="371"/>
    </row>
    <row r="19" spans="1:9" ht="12.75">
      <c r="A19" s="340">
        <v>54</v>
      </c>
      <c r="B19" s="345" t="s">
        <v>302</v>
      </c>
      <c r="C19" s="495"/>
      <c r="D19" s="346">
        <v>0</v>
      </c>
      <c r="E19" s="346">
        <v>0</v>
      </c>
      <c r="F19" s="346">
        <v>0</v>
      </c>
      <c r="G19" s="346">
        <v>0</v>
      </c>
      <c r="H19" s="340">
        <v>54</v>
      </c>
      <c r="I19" s="371"/>
    </row>
    <row r="20" spans="1:9" ht="7.5" customHeight="1">
      <c r="A20" s="348"/>
      <c r="B20" s="336"/>
      <c r="C20" s="349"/>
      <c r="D20" s="532"/>
      <c r="E20" s="532"/>
      <c r="F20" s="532"/>
      <c r="G20" s="532"/>
      <c r="H20" s="348"/>
      <c r="I20" s="371"/>
    </row>
    <row r="21" spans="1:9" ht="13.5" customHeight="1">
      <c r="A21" s="350" t="s">
        <v>439</v>
      </c>
      <c r="B21" s="496" t="s">
        <v>303</v>
      </c>
      <c r="C21" s="497"/>
      <c r="D21" s="550"/>
      <c r="E21" s="550"/>
      <c r="F21" s="550"/>
      <c r="G21" s="550"/>
      <c r="H21" s="350" t="s">
        <v>439</v>
      </c>
      <c r="I21" s="371"/>
    </row>
    <row r="22" spans="1:9" ht="12.75">
      <c r="A22" s="337">
        <v>55</v>
      </c>
      <c r="B22" s="492" t="s">
        <v>304</v>
      </c>
      <c r="C22" s="352"/>
      <c r="D22" s="417" t="s">
        <v>305</v>
      </c>
      <c r="E22" s="417" t="s">
        <v>305</v>
      </c>
      <c r="F22" s="417" t="s">
        <v>305</v>
      </c>
      <c r="G22" s="417" t="s">
        <v>305</v>
      </c>
      <c r="H22" s="337">
        <v>55</v>
      </c>
      <c r="I22" s="371"/>
    </row>
    <row r="23" spans="1:9" ht="12" customHeight="1">
      <c r="A23" s="337">
        <f aca="true" t="shared" si="1" ref="A23:A28">A22+1</f>
        <v>56</v>
      </c>
      <c r="B23" s="492" t="s">
        <v>306</v>
      </c>
      <c r="C23" s="352"/>
      <c r="D23" s="346"/>
      <c r="E23" s="346"/>
      <c r="F23" s="346"/>
      <c r="G23" s="547"/>
      <c r="H23" s="337">
        <f aca="true" t="shared" si="2" ref="H23:H28">H22+1</f>
        <v>56</v>
      </c>
      <c r="I23" s="371"/>
    </row>
    <row r="24" spans="1:9" ht="12" customHeight="1">
      <c r="A24" s="337">
        <f t="shared" si="1"/>
        <v>57</v>
      </c>
      <c r="B24" s="492" t="s">
        <v>307</v>
      </c>
      <c r="C24" s="352"/>
      <c r="D24" s="346"/>
      <c r="E24" s="346"/>
      <c r="F24" s="346"/>
      <c r="G24" s="547"/>
      <c r="H24" s="337">
        <f t="shared" si="2"/>
        <v>57</v>
      </c>
      <c r="I24" s="371"/>
    </row>
    <row r="25" spans="1:9" ht="12" customHeight="1">
      <c r="A25" s="337">
        <f t="shared" si="1"/>
        <v>58</v>
      </c>
      <c r="B25" s="492" t="s">
        <v>308</v>
      </c>
      <c r="C25" s="352"/>
      <c r="D25" s="346"/>
      <c r="E25" s="346"/>
      <c r="F25" s="346"/>
      <c r="G25" s="547"/>
      <c r="H25" s="337">
        <f t="shared" si="2"/>
        <v>58</v>
      </c>
      <c r="I25" s="371"/>
    </row>
    <row r="26" spans="1:9" ht="12" customHeight="1">
      <c r="A26" s="337">
        <f t="shared" si="1"/>
        <v>59</v>
      </c>
      <c r="B26" s="492" t="s">
        <v>309</v>
      </c>
      <c r="C26" s="352"/>
      <c r="D26" s="346"/>
      <c r="E26" s="346"/>
      <c r="F26" s="346"/>
      <c r="G26" s="547"/>
      <c r="H26" s="337">
        <f t="shared" si="2"/>
        <v>59</v>
      </c>
      <c r="I26" s="371"/>
    </row>
    <row r="27" spans="1:9" ht="12" customHeight="1">
      <c r="A27" s="337">
        <f t="shared" si="1"/>
        <v>60</v>
      </c>
      <c r="B27" s="492" t="s">
        <v>310</v>
      </c>
      <c r="C27" s="352"/>
      <c r="D27" s="346"/>
      <c r="E27" s="346"/>
      <c r="F27" s="346"/>
      <c r="G27" s="547"/>
      <c r="H27" s="337">
        <f t="shared" si="2"/>
        <v>60</v>
      </c>
      <c r="I27" s="371"/>
    </row>
    <row r="28" spans="1:9" ht="12" customHeight="1">
      <c r="A28" s="337">
        <f t="shared" si="1"/>
        <v>61</v>
      </c>
      <c r="B28" s="492" t="s">
        <v>311</v>
      </c>
      <c r="C28" s="352"/>
      <c r="D28" s="346"/>
      <c r="E28" s="346"/>
      <c r="F28" s="346"/>
      <c r="G28" s="547"/>
      <c r="H28" s="337">
        <f t="shared" si="2"/>
        <v>61</v>
      </c>
      <c r="I28" s="371"/>
    </row>
    <row r="29" spans="1:9" ht="12" customHeight="1" thickBot="1">
      <c r="A29" s="340">
        <v>62</v>
      </c>
      <c r="B29" s="492" t="s">
        <v>312</v>
      </c>
      <c r="C29" s="352"/>
      <c r="D29" s="428"/>
      <c r="E29" s="428"/>
      <c r="F29" s="428"/>
      <c r="G29" s="551"/>
      <c r="H29" s="340">
        <v>62</v>
      </c>
      <c r="I29" s="371"/>
    </row>
    <row r="30" spans="1:9" ht="12.75">
      <c r="A30" s="337">
        <v>63</v>
      </c>
      <c r="B30" s="750" t="s">
        <v>45</v>
      </c>
      <c r="C30" s="751"/>
      <c r="D30" s="355">
        <v>0</v>
      </c>
      <c r="E30" s="355">
        <v>0</v>
      </c>
      <c r="F30" s="355">
        <v>0</v>
      </c>
      <c r="G30" s="494">
        <v>0</v>
      </c>
      <c r="H30" s="337">
        <v>63</v>
      </c>
      <c r="I30" s="371"/>
    </row>
    <row r="31" spans="1:9" ht="10.5" customHeight="1">
      <c r="A31" s="353" t="s">
        <v>439</v>
      </c>
      <c r="B31" s="496" t="s">
        <v>420</v>
      </c>
      <c r="C31" s="498"/>
      <c r="D31" s="552"/>
      <c r="E31" s="552"/>
      <c r="F31" s="552"/>
      <c r="G31" s="553"/>
      <c r="H31" s="353" t="s">
        <v>439</v>
      </c>
      <c r="I31" s="371"/>
    </row>
    <row r="32" spans="1:9" ht="12.75">
      <c r="A32" s="337">
        <v>64</v>
      </c>
      <c r="B32" s="492" t="s">
        <v>558</v>
      </c>
      <c r="C32" s="352"/>
      <c r="D32" s="417">
        <v>0</v>
      </c>
      <c r="E32" s="417">
        <v>0</v>
      </c>
      <c r="F32" s="417">
        <v>0</v>
      </c>
      <c r="G32" s="493">
        <v>0</v>
      </c>
      <c r="H32" s="337">
        <v>64</v>
      </c>
      <c r="I32" s="371"/>
    </row>
    <row r="33" spans="1:9" ht="12" customHeight="1">
      <c r="A33" s="337">
        <f aca="true" t="shared" si="3" ref="A33:A39">A32+1</f>
        <v>65</v>
      </c>
      <c r="B33" s="492" t="s">
        <v>313</v>
      </c>
      <c r="C33" s="352"/>
      <c r="D33" s="417"/>
      <c r="E33" s="417"/>
      <c r="F33" s="417"/>
      <c r="G33" s="493"/>
      <c r="H33" s="337">
        <f aca="true" t="shared" si="4" ref="H33:H39">H32+1</f>
        <v>65</v>
      </c>
      <c r="I33" s="371"/>
    </row>
    <row r="34" spans="1:9" ht="12" customHeight="1">
      <c r="A34" s="337">
        <f t="shared" si="3"/>
        <v>66</v>
      </c>
      <c r="B34" s="492" t="s">
        <v>559</v>
      </c>
      <c r="C34" s="352">
        <v>40</v>
      </c>
      <c r="D34" s="346">
        <v>190163.45</v>
      </c>
      <c r="E34" s="346">
        <f>G34-D34-F34</f>
        <v>58013.53999999995</v>
      </c>
      <c r="F34" s="346">
        <f>173808.65+27639.32+0.43</f>
        <v>201448.4</v>
      </c>
      <c r="G34" s="547">
        <f>408299.97+3916.88+37408.54</f>
        <v>449625.38999999996</v>
      </c>
      <c r="H34" s="337">
        <f t="shared" si="4"/>
        <v>66</v>
      </c>
      <c r="I34" s="371"/>
    </row>
    <row r="35" spans="1:9" ht="12" customHeight="1">
      <c r="A35" s="337">
        <f t="shared" si="3"/>
        <v>67</v>
      </c>
      <c r="B35" s="492" t="s">
        <v>314</v>
      </c>
      <c r="C35" s="352"/>
      <c r="D35" s="346"/>
      <c r="E35" s="346"/>
      <c r="F35" s="346"/>
      <c r="G35" s="547"/>
      <c r="H35" s="337">
        <f t="shared" si="4"/>
        <v>67</v>
      </c>
      <c r="I35" s="371"/>
    </row>
    <row r="36" spans="1:9" ht="12" customHeight="1">
      <c r="A36" s="337">
        <f t="shared" si="3"/>
        <v>68</v>
      </c>
      <c r="B36" s="492" t="s">
        <v>315</v>
      </c>
      <c r="C36" s="352">
        <v>33</v>
      </c>
      <c r="D36" s="346">
        <v>21677.33</v>
      </c>
      <c r="E36" s="346">
        <f>G36-D36-F36</f>
        <v>6491.720000000001</v>
      </c>
      <c r="F36" s="346">
        <f>55049.89+2383</f>
        <v>57432.89</v>
      </c>
      <c r="G36" s="547">
        <v>85601.94</v>
      </c>
      <c r="H36" s="337">
        <f t="shared" si="4"/>
        <v>68</v>
      </c>
      <c r="I36" s="371"/>
    </row>
    <row r="37" spans="1:9" ht="12" customHeight="1">
      <c r="A37" s="337">
        <f t="shared" si="3"/>
        <v>69</v>
      </c>
      <c r="B37" s="492" t="s">
        <v>540</v>
      </c>
      <c r="C37" s="352">
        <v>20</v>
      </c>
      <c r="D37" s="346">
        <v>23510.69</v>
      </c>
      <c r="E37" s="346">
        <f>G37-D37-F37</f>
        <v>19206.809999999998</v>
      </c>
      <c r="F37" s="346">
        <f>880.8+567.29</f>
        <v>1448.09</v>
      </c>
      <c r="G37" s="547">
        <v>44165.59</v>
      </c>
      <c r="H37" s="337">
        <f t="shared" si="4"/>
        <v>69</v>
      </c>
      <c r="I37" s="371"/>
    </row>
    <row r="38" spans="1:9" ht="12" customHeight="1">
      <c r="A38" s="337">
        <f t="shared" si="3"/>
        <v>70</v>
      </c>
      <c r="B38" s="492" t="s">
        <v>541</v>
      </c>
      <c r="C38" s="499" t="s">
        <v>40</v>
      </c>
      <c r="D38" s="346">
        <v>17093.96</v>
      </c>
      <c r="E38" s="346">
        <f>G38-D38-F38</f>
        <v>7334.219999999999</v>
      </c>
      <c r="F38" s="346">
        <f>3021.63+1627.03+2777.47+5555</f>
        <v>12981.13</v>
      </c>
      <c r="G38" s="547">
        <f>27167.59+10241.72</f>
        <v>37409.31</v>
      </c>
      <c r="H38" s="337">
        <f t="shared" si="4"/>
        <v>70</v>
      </c>
      <c r="I38" s="371"/>
    </row>
    <row r="39" spans="1:9" ht="12" customHeight="1">
      <c r="A39" s="337">
        <f t="shared" si="3"/>
        <v>71</v>
      </c>
      <c r="B39" s="492" t="s">
        <v>316</v>
      </c>
      <c r="C39" s="352"/>
      <c r="D39" s="554"/>
      <c r="E39" s="554"/>
      <c r="F39" s="554"/>
      <c r="G39" s="555"/>
      <c r="H39" s="337">
        <f t="shared" si="4"/>
        <v>71</v>
      </c>
      <c r="I39" s="371"/>
    </row>
    <row r="40" spans="1:9" ht="12" customHeight="1">
      <c r="A40" s="337">
        <v>72</v>
      </c>
      <c r="B40" s="492" t="s">
        <v>317</v>
      </c>
      <c r="C40" s="352"/>
      <c r="D40" s="346"/>
      <c r="E40" s="346"/>
      <c r="F40" s="346"/>
      <c r="G40" s="547"/>
      <c r="H40" s="337">
        <v>72</v>
      </c>
      <c r="I40" s="371"/>
    </row>
    <row r="41" spans="1:9" ht="12" customHeight="1" thickBot="1">
      <c r="A41" s="340">
        <v>73</v>
      </c>
      <c r="B41" s="492" t="s">
        <v>318</v>
      </c>
      <c r="C41" s="352"/>
      <c r="D41" s="428"/>
      <c r="E41" s="428"/>
      <c r="F41" s="428"/>
      <c r="G41" s="551"/>
      <c r="H41" s="340">
        <v>73</v>
      </c>
      <c r="I41" s="371"/>
    </row>
    <row r="42" spans="1:9" ht="12.75">
      <c r="A42" s="337">
        <v>74</v>
      </c>
      <c r="B42" s="750" t="s">
        <v>46</v>
      </c>
      <c r="C42" s="751"/>
      <c r="D42" s="355">
        <f>SUM(D32:D41)</f>
        <v>252445.43000000002</v>
      </c>
      <c r="E42" s="355">
        <f>SUM(E32:E41)</f>
        <v>91046.28999999995</v>
      </c>
      <c r="F42" s="355">
        <f>SUM(F32:F41)</f>
        <v>273310.50999999995</v>
      </c>
      <c r="G42" s="355">
        <f>SUM(G32:G41)</f>
        <v>616802.23</v>
      </c>
      <c r="H42" s="337">
        <v>74</v>
      </c>
      <c r="I42" s="371"/>
    </row>
    <row r="43" spans="1:9" ht="11.25" customHeight="1">
      <c r="A43" s="353" t="s">
        <v>439</v>
      </c>
      <c r="B43" s="496" t="s">
        <v>421</v>
      </c>
      <c r="C43" s="500"/>
      <c r="D43" s="552"/>
      <c r="E43" s="552"/>
      <c r="F43" s="552"/>
      <c r="G43" s="553"/>
      <c r="H43" s="353" t="s">
        <v>439</v>
      </c>
      <c r="I43" s="371"/>
    </row>
    <row r="44" spans="1:9" ht="12.75">
      <c r="A44" s="337">
        <v>75</v>
      </c>
      <c r="B44" s="492" t="s">
        <v>562</v>
      </c>
      <c r="C44" s="339"/>
      <c r="D44" s="417">
        <v>0</v>
      </c>
      <c r="E44" s="417">
        <v>0</v>
      </c>
      <c r="F44" s="417">
        <v>0</v>
      </c>
      <c r="G44" s="493">
        <v>0</v>
      </c>
      <c r="H44" s="337">
        <v>75</v>
      </c>
      <c r="I44" s="371"/>
    </row>
    <row r="45" spans="1:9" ht="12" customHeight="1">
      <c r="A45" s="337">
        <f aca="true" t="shared" si="5" ref="A45:A50">A44+1</f>
        <v>76</v>
      </c>
      <c r="B45" s="492" t="s">
        <v>319</v>
      </c>
      <c r="C45" s="339"/>
      <c r="D45" s="417"/>
      <c r="E45" s="417"/>
      <c r="F45" s="417"/>
      <c r="G45" s="493"/>
      <c r="H45" s="337">
        <f aca="true" t="shared" si="6" ref="H45:H50">H44+1</f>
        <v>76</v>
      </c>
      <c r="I45" s="371"/>
    </row>
    <row r="46" spans="1:9" ht="12" customHeight="1">
      <c r="A46" s="337">
        <f t="shared" si="5"/>
        <v>77</v>
      </c>
      <c r="B46" s="492" t="s">
        <v>563</v>
      </c>
      <c r="C46" s="339">
        <v>10</v>
      </c>
      <c r="D46" s="346">
        <v>3152.55</v>
      </c>
      <c r="E46" s="346">
        <f>G46-D46</f>
        <v>397.5</v>
      </c>
      <c r="F46" s="346"/>
      <c r="G46" s="547">
        <v>3550.05</v>
      </c>
      <c r="H46" s="337">
        <f t="shared" si="6"/>
        <v>77</v>
      </c>
      <c r="I46" s="371"/>
    </row>
    <row r="47" spans="1:9" ht="12" customHeight="1">
      <c r="A47" s="337">
        <f t="shared" si="5"/>
        <v>78</v>
      </c>
      <c r="B47" s="492" t="s">
        <v>320</v>
      </c>
      <c r="C47" s="339"/>
      <c r="D47" s="346"/>
      <c r="E47" s="346"/>
      <c r="F47" s="346"/>
      <c r="G47" s="547"/>
      <c r="H47" s="337">
        <f t="shared" si="6"/>
        <v>78</v>
      </c>
      <c r="I47" s="371"/>
    </row>
    <row r="48" spans="1:9" ht="12" customHeight="1">
      <c r="A48" s="337">
        <f t="shared" si="5"/>
        <v>79</v>
      </c>
      <c r="B48" s="492" t="s">
        <v>41</v>
      </c>
      <c r="C48" s="339">
        <v>25</v>
      </c>
      <c r="D48" s="346">
        <v>153.15</v>
      </c>
      <c r="E48" s="346">
        <f>G48-D48</f>
        <v>19.189999999999998</v>
      </c>
      <c r="F48" s="346"/>
      <c r="G48" s="547">
        <v>172.34</v>
      </c>
      <c r="H48" s="337">
        <f t="shared" si="6"/>
        <v>79</v>
      </c>
      <c r="I48" s="371"/>
    </row>
    <row r="49" spans="1:9" ht="12" customHeight="1">
      <c r="A49" s="337">
        <f t="shared" si="5"/>
        <v>80</v>
      </c>
      <c r="B49" s="492" t="s">
        <v>322</v>
      </c>
      <c r="C49" s="339"/>
      <c r="D49" s="346"/>
      <c r="E49" s="346"/>
      <c r="F49" s="346"/>
      <c r="G49" s="547"/>
      <c r="H49" s="337">
        <f t="shared" si="6"/>
        <v>80</v>
      </c>
      <c r="I49" s="371"/>
    </row>
    <row r="50" spans="1:9" ht="12" customHeight="1">
      <c r="A50" s="337">
        <f t="shared" si="5"/>
        <v>81</v>
      </c>
      <c r="B50" s="492" t="s">
        <v>323</v>
      </c>
      <c r="C50" s="501">
        <v>25</v>
      </c>
      <c r="D50" s="556">
        <v>1768.76</v>
      </c>
      <c r="E50" s="346">
        <f>G50-D50</f>
        <v>331.1600000000001</v>
      </c>
      <c r="F50" s="556"/>
      <c r="G50" s="547">
        <v>2099.92</v>
      </c>
      <c r="H50" s="337">
        <f t="shared" si="6"/>
        <v>81</v>
      </c>
      <c r="I50" s="371"/>
    </row>
    <row r="51" spans="1:9" ht="12" customHeight="1" thickBot="1">
      <c r="A51" s="340">
        <v>82</v>
      </c>
      <c r="B51" s="492" t="s">
        <v>324</v>
      </c>
      <c r="C51" s="502"/>
      <c r="D51" s="557"/>
      <c r="E51" s="557"/>
      <c r="F51" s="557"/>
      <c r="G51" s="558"/>
      <c r="H51" s="340">
        <v>82</v>
      </c>
      <c r="I51" s="371"/>
    </row>
    <row r="52" spans="1:9" ht="13.5" thickBot="1">
      <c r="A52" s="337">
        <v>83</v>
      </c>
      <c r="B52" s="752" t="s">
        <v>47</v>
      </c>
      <c r="C52" s="753"/>
      <c r="D52" s="422">
        <f>SUM(D44:D51)</f>
        <v>5074.46</v>
      </c>
      <c r="E52" s="422">
        <f>SUM(E44:E51)</f>
        <v>747.8500000000001</v>
      </c>
      <c r="F52" s="422">
        <f>SUM(F44:F51)</f>
        <v>0</v>
      </c>
      <c r="G52" s="422">
        <f>SUM(G44:G51)</f>
        <v>5822.31</v>
      </c>
      <c r="H52" s="337">
        <v>83</v>
      </c>
      <c r="I52" s="371"/>
    </row>
    <row r="53" spans="1:9" ht="13.5" thickBot="1">
      <c r="A53" s="337">
        <f>A52+1</f>
        <v>84</v>
      </c>
      <c r="B53" s="503" t="s">
        <v>42</v>
      </c>
      <c r="C53" s="504"/>
      <c r="D53" s="356">
        <f>D42+D52</f>
        <v>257519.89</v>
      </c>
      <c r="E53" s="356">
        <f>E42+E52</f>
        <v>91794.13999999996</v>
      </c>
      <c r="F53" s="356">
        <f>F42+F52</f>
        <v>273310.50999999995</v>
      </c>
      <c r="G53" s="356">
        <f>G42+G52</f>
        <v>622624.54</v>
      </c>
      <c r="H53" s="337">
        <f>H52+1</f>
        <v>84</v>
      </c>
      <c r="I53" s="371"/>
    </row>
    <row r="54" spans="1:9" ht="11.25" customHeight="1">
      <c r="A54" s="350" t="s">
        <v>439</v>
      </c>
      <c r="B54" s="754" t="s">
        <v>326</v>
      </c>
      <c r="C54" s="755"/>
      <c r="D54" s="559"/>
      <c r="E54" s="559"/>
      <c r="F54" s="559"/>
      <c r="G54" s="560"/>
      <c r="H54" s="350" t="s">
        <v>439</v>
      </c>
      <c r="I54" s="371"/>
    </row>
    <row r="55" spans="1:9" ht="12" customHeight="1">
      <c r="A55" s="350" t="s">
        <v>439</v>
      </c>
      <c r="B55" s="505" t="s">
        <v>327</v>
      </c>
      <c r="C55" s="506"/>
      <c r="D55" s="561"/>
      <c r="E55" s="561"/>
      <c r="F55" s="561"/>
      <c r="G55" s="562"/>
      <c r="H55" s="350" t="s">
        <v>439</v>
      </c>
      <c r="I55" s="371"/>
    </row>
    <row r="56" spans="1:9" ht="12.75">
      <c r="A56" s="337">
        <v>85</v>
      </c>
      <c r="B56" s="492" t="s">
        <v>328</v>
      </c>
      <c r="C56" s="352"/>
      <c r="D56" s="417" t="s">
        <v>305</v>
      </c>
      <c r="E56" s="417" t="s">
        <v>305</v>
      </c>
      <c r="F56" s="417" t="s">
        <v>305</v>
      </c>
      <c r="G56" s="493" t="s">
        <v>305</v>
      </c>
      <c r="H56" s="337">
        <v>85</v>
      </c>
      <c r="I56" s="371"/>
    </row>
    <row r="57" spans="1:9" ht="12" customHeight="1">
      <c r="A57" s="337">
        <f>A56+1</f>
        <v>86</v>
      </c>
      <c r="B57" s="492" t="s">
        <v>329</v>
      </c>
      <c r="C57" s="352"/>
      <c r="D57" s="346"/>
      <c r="E57" s="346"/>
      <c r="F57" s="346"/>
      <c r="G57" s="547"/>
      <c r="H57" s="337">
        <f>H56+1</f>
        <v>86</v>
      </c>
      <c r="I57" s="371"/>
    </row>
    <row r="58" spans="1:9" ht="12" customHeight="1">
      <c r="A58" s="337">
        <f>A57+1</f>
        <v>87</v>
      </c>
      <c r="B58" s="492" t="s">
        <v>330</v>
      </c>
      <c r="C58" s="352"/>
      <c r="D58" s="346"/>
      <c r="E58" s="346"/>
      <c r="F58" s="346"/>
      <c r="G58" s="547"/>
      <c r="H58" s="337">
        <f>H57+1</f>
        <v>87</v>
      </c>
      <c r="I58" s="371"/>
    </row>
    <row r="59" spans="1:9" ht="12" customHeight="1" thickBot="1">
      <c r="A59" s="337">
        <f>A58+1</f>
        <v>88</v>
      </c>
      <c r="B59" s="492" t="s">
        <v>331</v>
      </c>
      <c r="C59" s="352"/>
      <c r="D59" s="346"/>
      <c r="E59" s="346"/>
      <c r="F59" s="346"/>
      <c r="G59" s="547"/>
      <c r="H59" s="337">
        <f>H58+1</f>
        <v>88</v>
      </c>
      <c r="I59" s="371"/>
    </row>
    <row r="60" spans="1:9" ht="13.5" thickBot="1">
      <c r="A60" s="361">
        <f>A59+1</f>
        <v>89</v>
      </c>
      <c r="B60" s="748" t="s">
        <v>48</v>
      </c>
      <c r="C60" s="749"/>
      <c r="D60" s="363">
        <f>D53</f>
        <v>257519.89</v>
      </c>
      <c r="E60" s="363">
        <f>E53</f>
        <v>91794.13999999996</v>
      </c>
      <c r="F60" s="363">
        <f>F53</f>
        <v>273310.50999999995</v>
      </c>
      <c r="G60" s="363">
        <f>G53</f>
        <v>622624.54</v>
      </c>
      <c r="H60" s="361">
        <f>H59+1</f>
        <v>89</v>
      </c>
      <c r="I60" s="371"/>
    </row>
    <row r="61" spans="1:9" ht="11.25" customHeight="1">
      <c r="A61" s="370"/>
      <c r="B61" s="435" t="s">
        <v>49</v>
      </c>
      <c r="C61" s="507"/>
      <c r="D61" s="507"/>
      <c r="E61" s="371"/>
      <c r="F61" s="371"/>
      <c r="G61" s="371"/>
      <c r="H61" s="371"/>
      <c r="I61" s="371"/>
    </row>
    <row r="62" spans="1:9" ht="20.25" customHeight="1">
      <c r="A62" s="368" t="s">
        <v>43</v>
      </c>
      <c r="B62" s="369"/>
      <c r="C62" s="324"/>
      <c r="D62" s="324"/>
      <c r="E62" s="324"/>
      <c r="F62" s="324"/>
      <c r="G62" s="326"/>
      <c r="H62" s="326"/>
      <c r="I62" s="371"/>
    </row>
    <row r="63" spans="1:9" ht="12.75">
      <c r="A63" s="370"/>
      <c r="B63" s="507"/>
      <c r="C63" s="371"/>
      <c r="D63" s="371"/>
      <c r="E63" s="371"/>
      <c r="F63" s="371"/>
      <c r="G63" s="371"/>
      <c r="H63" s="371"/>
      <c r="I63" s="371"/>
    </row>
    <row r="64" spans="1:9" ht="12.75">
      <c r="A64" s="370"/>
      <c r="B64" s="372"/>
      <c r="C64" s="371"/>
      <c r="D64" s="371"/>
      <c r="E64" s="371"/>
      <c r="F64" s="371"/>
      <c r="G64" s="371"/>
      <c r="H64" s="371"/>
      <c r="I64" s="371"/>
    </row>
    <row r="65" spans="1:9" ht="12.75">
      <c r="A65" s="370"/>
      <c r="B65" s="371"/>
      <c r="C65" s="371"/>
      <c r="D65" s="371"/>
      <c r="E65" s="371"/>
      <c r="F65" s="371"/>
      <c r="G65" s="371"/>
      <c r="H65" s="371"/>
      <c r="I65" s="371"/>
    </row>
    <row r="66" spans="1:9" ht="12.75">
      <c r="A66" s="370"/>
      <c r="B66" s="371"/>
      <c r="C66" s="371"/>
      <c r="D66" s="371"/>
      <c r="E66" s="371"/>
      <c r="F66" s="371"/>
      <c r="G66" s="371"/>
      <c r="H66" s="371"/>
      <c r="I66" s="371"/>
    </row>
    <row r="67" spans="1:9" ht="12.75">
      <c r="A67" s="370"/>
      <c r="B67" s="371"/>
      <c r="C67" s="371"/>
      <c r="D67" s="371"/>
      <c r="E67" s="371"/>
      <c r="F67" s="371"/>
      <c r="G67" s="371"/>
      <c r="H67" s="371"/>
      <c r="I67" s="371"/>
    </row>
    <row r="68" spans="1:9" ht="12.75">
      <c r="A68" s="370"/>
      <c r="B68" s="371"/>
      <c r="C68" s="371"/>
      <c r="D68" s="371"/>
      <c r="E68" s="371"/>
      <c r="F68" s="371"/>
      <c r="G68" s="371"/>
      <c r="H68" s="371"/>
      <c r="I68" s="371"/>
    </row>
    <row r="69" spans="1:9" ht="12.75">
      <c r="A69" s="370"/>
      <c r="B69" s="371"/>
      <c r="C69" s="371"/>
      <c r="D69" s="371"/>
      <c r="E69" s="371"/>
      <c r="F69" s="371"/>
      <c r="G69" s="371"/>
      <c r="H69" s="371"/>
      <c r="I69" s="371"/>
    </row>
    <row r="70" spans="1:9" ht="12.75">
      <c r="A70" s="370"/>
      <c r="B70" s="371"/>
      <c r="C70" s="371"/>
      <c r="D70" s="371"/>
      <c r="E70" s="371"/>
      <c r="F70" s="371"/>
      <c r="G70" s="371"/>
      <c r="H70" s="371"/>
      <c r="I70" s="371"/>
    </row>
    <row r="71" spans="1:9" ht="12.75">
      <c r="A71" s="370"/>
      <c r="B71" s="371"/>
      <c r="C71" s="371"/>
      <c r="D71" s="371"/>
      <c r="E71" s="371"/>
      <c r="F71" s="371"/>
      <c r="G71" s="371"/>
      <c r="H71" s="371"/>
      <c r="I71" s="371"/>
    </row>
    <row r="72" spans="1:9" ht="12.75">
      <c r="A72" s="370"/>
      <c r="B72" s="371"/>
      <c r="C72" s="371"/>
      <c r="D72" s="371"/>
      <c r="E72" s="371"/>
      <c r="F72" s="371"/>
      <c r="G72" s="371"/>
      <c r="H72" s="371"/>
      <c r="I72" s="371"/>
    </row>
    <row r="73" spans="1:9" ht="12.75">
      <c r="A73" s="370"/>
      <c r="B73" s="371"/>
      <c r="C73" s="371"/>
      <c r="D73" s="371"/>
      <c r="E73" s="371"/>
      <c r="F73" s="371"/>
      <c r="G73" s="371"/>
      <c r="H73" s="371"/>
      <c r="I73" s="371"/>
    </row>
    <row r="74" spans="1:9" ht="12.75">
      <c r="A74" s="370"/>
      <c r="B74" s="371"/>
      <c r="C74" s="371"/>
      <c r="D74" s="371"/>
      <c r="E74" s="371"/>
      <c r="F74" s="371"/>
      <c r="G74" s="371"/>
      <c r="H74" s="371"/>
      <c r="I74" s="371"/>
    </row>
    <row r="75" spans="1:9" ht="12.75">
      <c r="A75" s="370"/>
      <c r="B75" s="371"/>
      <c r="C75" s="371"/>
      <c r="D75" s="371"/>
      <c r="E75" s="371"/>
      <c r="F75" s="371"/>
      <c r="G75" s="371"/>
      <c r="H75" s="371"/>
      <c r="I75" s="371"/>
    </row>
    <row r="76" spans="1:9" ht="12.75">
      <c r="A76" s="370"/>
      <c r="B76" s="371"/>
      <c r="C76" s="371"/>
      <c r="D76" s="371"/>
      <c r="E76" s="371"/>
      <c r="F76" s="371"/>
      <c r="G76" s="371"/>
      <c r="H76" s="371"/>
      <c r="I76" s="371"/>
    </row>
    <row r="77" spans="1:9" ht="12.75">
      <c r="A77" s="370"/>
      <c r="B77" s="371"/>
      <c r="C77" s="371"/>
      <c r="D77" s="371"/>
      <c r="E77" s="371"/>
      <c r="F77" s="371"/>
      <c r="G77" s="371"/>
      <c r="H77" s="371"/>
      <c r="I77" s="371"/>
    </row>
    <row r="78" spans="1:9" ht="12.75">
      <c r="A78" s="370"/>
      <c r="B78" s="371"/>
      <c r="C78" s="371"/>
      <c r="D78" s="371"/>
      <c r="E78" s="371"/>
      <c r="F78" s="371"/>
      <c r="G78" s="371"/>
      <c r="H78" s="371"/>
      <c r="I78" s="371"/>
    </row>
    <row r="79" spans="1:9" ht="12.75">
      <c r="A79" s="370"/>
      <c r="B79" s="371"/>
      <c r="C79" s="371"/>
      <c r="D79" s="371"/>
      <c r="E79" s="371"/>
      <c r="F79" s="371"/>
      <c r="G79" s="371"/>
      <c r="H79" s="371"/>
      <c r="I79" s="371"/>
    </row>
    <row r="80" spans="1:9" ht="12.75">
      <c r="A80" s="370"/>
      <c r="B80" s="371"/>
      <c r="C80" s="371"/>
      <c r="D80" s="371"/>
      <c r="E80" s="371"/>
      <c r="F80" s="371"/>
      <c r="G80" s="371"/>
      <c r="H80" s="371"/>
      <c r="I80" s="371"/>
    </row>
    <row r="81" spans="1:9" ht="12.75">
      <c r="A81" s="370"/>
      <c r="B81" s="371"/>
      <c r="C81" s="371"/>
      <c r="D81" s="371"/>
      <c r="E81" s="371"/>
      <c r="F81" s="371"/>
      <c r="G81" s="371"/>
      <c r="H81" s="371"/>
      <c r="I81" s="371"/>
    </row>
    <row r="82" spans="1:9" ht="12.75">
      <c r="A82" s="370"/>
      <c r="B82" s="371"/>
      <c r="C82" s="371"/>
      <c r="D82" s="371"/>
      <c r="E82" s="371"/>
      <c r="F82" s="371"/>
      <c r="G82" s="371"/>
      <c r="H82" s="371"/>
      <c r="I82" s="371"/>
    </row>
    <row r="83" spans="1:9" ht="12.75">
      <c r="A83" s="370"/>
      <c r="B83" s="371"/>
      <c r="C83" s="371"/>
      <c r="D83" s="371"/>
      <c r="E83" s="371"/>
      <c r="F83" s="371"/>
      <c r="G83" s="371"/>
      <c r="H83" s="371"/>
      <c r="I83" s="371"/>
    </row>
    <row r="84" spans="1:9" ht="12.75">
      <c r="A84" s="370"/>
      <c r="B84" s="371"/>
      <c r="C84" s="371"/>
      <c r="D84" s="371"/>
      <c r="E84" s="371"/>
      <c r="F84" s="371"/>
      <c r="G84" s="371"/>
      <c r="H84" s="371"/>
      <c r="I84" s="371"/>
    </row>
    <row r="85" spans="1:9" ht="12.75">
      <c r="A85" s="370"/>
      <c r="B85" s="371"/>
      <c r="C85" s="371"/>
      <c r="D85" s="371"/>
      <c r="E85" s="371"/>
      <c r="F85" s="371"/>
      <c r="G85" s="371"/>
      <c r="H85" s="371"/>
      <c r="I85" s="371"/>
    </row>
  </sheetData>
  <mergeCells count="6">
    <mergeCell ref="B60:C60"/>
    <mergeCell ref="B17:C17"/>
    <mergeCell ref="B30:C30"/>
    <mergeCell ref="B42:C42"/>
    <mergeCell ref="B52:C52"/>
    <mergeCell ref="B54:C54"/>
  </mergeCells>
  <printOptions/>
  <pageMargins left="0.67" right="0.33" top="0.25" bottom="0" header="0.44" footer="0.23"/>
  <pageSetup horizontalDpi="300" verticalDpi="300" orientation="portrait" r:id="rId1"/>
</worksheet>
</file>

<file path=xl/worksheets/sheet22.xml><?xml version="1.0" encoding="utf-8"?>
<worksheet xmlns="http://schemas.openxmlformats.org/spreadsheetml/2006/main" xmlns:r="http://schemas.openxmlformats.org/officeDocument/2006/relationships">
  <sheetPr codeName="Sheet22">
    <tabColor indexed="43"/>
    <outlinePr summaryBelow="0" summaryRight="0"/>
  </sheetPr>
  <dimension ref="A1:E60"/>
  <sheetViews>
    <sheetView showOutlineSymbols="0" zoomScale="75" zoomScaleNormal="75" workbookViewId="0" topLeftCell="A1">
      <selection activeCell="A1" sqref="A1"/>
    </sheetView>
  </sheetViews>
  <sheetFormatPr defaultColWidth="9.140625" defaultRowHeight="12.75"/>
  <cols>
    <col min="1" max="1" width="5.00390625" style="253" customWidth="1"/>
    <col min="2" max="2" width="45.7109375" style="253" customWidth="1"/>
    <col min="3" max="4" width="19.00390625" style="253" customWidth="1"/>
    <col min="5" max="5" width="5.00390625" style="253" customWidth="1"/>
    <col min="6" max="16384" width="9.140625" style="253" customWidth="1"/>
  </cols>
  <sheetData>
    <row r="1" ht="13.5">
      <c r="A1" s="252" t="s">
        <v>53</v>
      </c>
    </row>
    <row r="2" ht="11.25" customHeight="1"/>
    <row r="3" spans="1:5" ht="18.75" customHeight="1">
      <c r="A3" s="373" t="s">
        <v>196</v>
      </c>
      <c r="B3" s="413"/>
      <c r="C3" s="323"/>
      <c r="D3" s="323"/>
      <c r="E3" s="323"/>
    </row>
    <row r="4" ht="9" customHeight="1" thickBot="1"/>
    <row r="5" spans="1:5" ht="12.75">
      <c r="A5" s="327" t="s">
        <v>486</v>
      </c>
      <c r="B5" s="328" t="s">
        <v>352</v>
      </c>
      <c r="C5" s="327" t="s">
        <v>197</v>
      </c>
      <c r="D5" s="327" t="s">
        <v>490</v>
      </c>
      <c r="E5" s="327" t="s">
        <v>486</v>
      </c>
    </row>
    <row r="6" spans="1:5" ht="12.75">
      <c r="A6" s="329" t="s">
        <v>552</v>
      </c>
      <c r="B6" s="330" t="s">
        <v>198</v>
      </c>
      <c r="C6" s="329" t="s">
        <v>199</v>
      </c>
      <c r="D6" s="329" t="s">
        <v>199</v>
      </c>
      <c r="E6" s="329" t="s">
        <v>552</v>
      </c>
    </row>
    <row r="7" spans="1:5" ht="13.5" thickBot="1">
      <c r="A7" s="331"/>
      <c r="B7" s="332" t="s">
        <v>360</v>
      </c>
      <c r="C7" s="331" t="s">
        <v>361</v>
      </c>
      <c r="D7" s="331" t="s">
        <v>362</v>
      </c>
      <c r="E7" s="331"/>
    </row>
    <row r="8" spans="1:5" ht="12.75">
      <c r="A8" s="414" t="s">
        <v>439</v>
      </c>
      <c r="B8" s="375" t="s">
        <v>200</v>
      </c>
      <c r="C8" s="415"/>
      <c r="D8" s="415"/>
      <c r="E8" s="414" t="s">
        <v>439</v>
      </c>
    </row>
    <row r="9" spans="1:5" ht="12.75">
      <c r="A9" s="350" t="s">
        <v>439</v>
      </c>
      <c r="B9" s="416" t="s">
        <v>201</v>
      </c>
      <c r="C9" s="349"/>
      <c r="D9" s="349"/>
      <c r="E9" s="350" t="s">
        <v>439</v>
      </c>
    </row>
    <row r="10" spans="1:5" ht="12.75">
      <c r="A10" s="350" t="s">
        <v>439</v>
      </c>
      <c r="B10" s="416" t="s">
        <v>202</v>
      </c>
      <c r="C10" s="349"/>
      <c r="D10" s="349"/>
      <c r="E10" s="350" t="s">
        <v>439</v>
      </c>
    </row>
    <row r="11" spans="1:5" ht="12.75">
      <c r="A11" s="337">
        <v>134</v>
      </c>
      <c r="B11" s="339" t="s">
        <v>203</v>
      </c>
      <c r="C11" s="417">
        <v>0</v>
      </c>
      <c r="D11" s="347">
        <f aca="true" t="shared" si="0" ref="D11:D23">C11</f>
        <v>0</v>
      </c>
      <c r="E11" s="337">
        <v>134</v>
      </c>
    </row>
    <row r="12" spans="1:5" ht="12.75">
      <c r="A12" s="337">
        <f aca="true" t="shared" si="1" ref="A12:A22">1+A11</f>
        <v>135</v>
      </c>
      <c r="B12" s="339" t="s">
        <v>204</v>
      </c>
      <c r="C12" s="417">
        <v>0</v>
      </c>
      <c r="D12" s="347">
        <f t="shared" si="0"/>
        <v>0</v>
      </c>
      <c r="E12" s="337">
        <f aca="true" t="shared" si="2" ref="E12:E22">1+E11</f>
        <v>135</v>
      </c>
    </row>
    <row r="13" spans="1:5" ht="12.75">
      <c r="A13" s="337">
        <f t="shared" si="1"/>
        <v>136</v>
      </c>
      <c r="B13" s="339" t="s">
        <v>205</v>
      </c>
      <c r="C13" s="417">
        <v>0</v>
      </c>
      <c r="D13" s="347">
        <f t="shared" si="0"/>
        <v>0</v>
      </c>
      <c r="E13" s="337">
        <f t="shared" si="2"/>
        <v>136</v>
      </c>
    </row>
    <row r="14" spans="1:5" ht="12.75">
      <c r="A14" s="337">
        <f t="shared" si="1"/>
        <v>137</v>
      </c>
      <c r="B14" s="339" t="s">
        <v>206</v>
      </c>
      <c r="C14" s="417">
        <v>0</v>
      </c>
      <c r="D14" s="347">
        <f t="shared" si="0"/>
        <v>0</v>
      </c>
      <c r="E14" s="337">
        <f t="shared" si="2"/>
        <v>137</v>
      </c>
    </row>
    <row r="15" spans="1:5" ht="12.75">
      <c r="A15" s="337">
        <f t="shared" si="1"/>
        <v>138</v>
      </c>
      <c r="B15" s="339" t="s">
        <v>207</v>
      </c>
      <c r="C15" s="417">
        <v>0</v>
      </c>
      <c r="D15" s="347">
        <f t="shared" si="0"/>
        <v>0</v>
      </c>
      <c r="E15" s="337">
        <f t="shared" si="2"/>
        <v>138</v>
      </c>
    </row>
    <row r="16" spans="1:5" ht="12.75">
      <c r="A16" s="337">
        <f t="shared" si="1"/>
        <v>139</v>
      </c>
      <c r="B16" s="339" t="s">
        <v>208</v>
      </c>
      <c r="C16" s="417">
        <v>0</v>
      </c>
      <c r="D16" s="347">
        <f t="shared" si="0"/>
        <v>0</v>
      </c>
      <c r="E16" s="337">
        <f t="shared" si="2"/>
        <v>139</v>
      </c>
    </row>
    <row r="17" spans="1:5" ht="12.75">
      <c r="A17" s="337">
        <f t="shared" si="1"/>
        <v>140</v>
      </c>
      <c r="B17" s="339" t="s">
        <v>209</v>
      </c>
      <c r="C17" s="417">
        <v>0</v>
      </c>
      <c r="D17" s="347">
        <f t="shared" si="0"/>
        <v>0</v>
      </c>
      <c r="E17" s="337">
        <f t="shared" si="2"/>
        <v>140</v>
      </c>
    </row>
    <row r="18" spans="1:5" ht="12.75">
      <c r="A18" s="337">
        <f t="shared" si="1"/>
        <v>141</v>
      </c>
      <c r="B18" s="339" t="s">
        <v>210</v>
      </c>
      <c r="C18" s="417">
        <v>0</v>
      </c>
      <c r="D18" s="347">
        <f t="shared" si="0"/>
        <v>0</v>
      </c>
      <c r="E18" s="337">
        <f t="shared" si="2"/>
        <v>141</v>
      </c>
    </row>
    <row r="19" spans="1:5" ht="12.75">
      <c r="A19" s="337">
        <f t="shared" si="1"/>
        <v>142</v>
      </c>
      <c r="B19" s="339" t="s">
        <v>211</v>
      </c>
      <c r="C19" s="417">
        <v>0</v>
      </c>
      <c r="D19" s="347">
        <f t="shared" si="0"/>
        <v>0</v>
      </c>
      <c r="E19" s="337">
        <f t="shared" si="2"/>
        <v>142</v>
      </c>
    </row>
    <row r="20" spans="1:5" ht="12.75">
      <c r="A20" s="337">
        <f t="shared" si="1"/>
        <v>143</v>
      </c>
      <c r="B20" s="339" t="s">
        <v>185</v>
      </c>
      <c r="C20" s="417">
        <v>0</v>
      </c>
      <c r="D20" s="347">
        <f t="shared" si="0"/>
        <v>0</v>
      </c>
      <c r="E20" s="337">
        <f t="shared" si="2"/>
        <v>143</v>
      </c>
    </row>
    <row r="21" spans="1:5" ht="12.75">
      <c r="A21" s="337">
        <f t="shared" si="1"/>
        <v>144</v>
      </c>
      <c r="B21" s="339" t="s">
        <v>212</v>
      </c>
      <c r="C21" s="417">
        <v>0</v>
      </c>
      <c r="D21" s="347">
        <f t="shared" si="0"/>
        <v>0</v>
      </c>
      <c r="E21" s="337">
        <f t="shared" si="2"/>
        <v>144</v>
      </c>
    </row>
    <row r="22" spans="1:5" ht="13.5" thickBot="1">
      <c r="A22" s="337">
        <f t="shared" si="1"/>
        <v>145</v>
      </c>
      <c r="B22" s="339" t="s">
        <v>213</v>
      </c>
      <c r="C22" s="417">
        <v>0</v>
      </c>
      <c r="D22" s="347">
        <f t="shared" si="0"/>
        <v>0</v>
      </c>
      <c r="E22" s="337">
        <f t="shared" si="2"/>
        <v>145</v>
      </c>
    </row>
    <row r="23" spans="1:5" ht="12.75">
      <c r="A23" s="337">
        <v>146</v>
      </c>
      <c r="B23" s="339" t="s">
        <v>186</v>
      </c>
      <c r="C23" s="342">
        <f>SUM(C11:C22)</f>
        <v>0</v>
      </c>
      <c r="D23" s="418">
        <f t="shared" si="0"/>
        <v>0</v>
      </c>
      <c r="E23" s="337">
        <v>146</v>
      </c>
    </row>
    <row r="24" spans="1:5" ht="12.75">
      <c r="A24" s="353" t="s">
        <v>439</v>
      </c>
      <c r="B24" s="416" t="s">
        <v>214</v>
      </c>
      <c r="C24" s="529"/>
      <c r="D24" s="530"/>
      <c r="E24" s="353" t="s">
        <v>439</v>
      </c>
    </row>
    <row r="25" spans="1:5" ht="12.75">
      <c r="A25" s="337">
        <v>147</v>
      </c>
      <c r="B25" s="339" t="s">
        <v>215</v>
      </c>
      <c r="C25" s="417">
        <v>92554.96</v>
      </c>
      <c r="D25" s="347">
        <f aca="true" t="shared" si="3" ref="D25:D47">C25</f>
        <v>92554.96</v>
      </c>
      <c r="E25" s="337">
        <v>147</v>
      </c>
    </row>
    <row r="26" spans="1:5" ht="12.75">
      <c r="A26" s="337">
        <f aca="true" t="shared" si="4" ref="A26:A47">1+A25</f>
        <v>148</v>
      </c>
      <c r="B26" s="339" t="s">
        <v>216</v>
      </c>
      <c r="C26" s="417">
        <v>0</v>
      </c>
      <c r="D26" s="347">
        <f t="shared" si="3"/>
        <v>0</v>
      </c>
      <c r="E26" s="337">
        <f aca="true" t="shared" si="5" ref="E26:E47">1+E25</f>
        <v>148</v>
      </c>
    </row>
    <row r="27" spans="1:5" ht="12.75">
      <c r="A27" s="337">
        <f t="shared" si="4"/>
        <v>149</v>
      </c>
      <c r="B27" s="339" t="s">
        <v>217</v>
      </c>
      <c r="C27" s="417">
        <v>0</v>
      </c>
      <c r="D27" s="347">
        <f t="shared" si="3"/>
        <v>0</v>
      </c>
      <c r="E27" s="337">
        <f t="shared" si="5"/>
        <v>149</v>
      </c>
    </row>
    <row r="28" spans="1:5" ht="12.75">
      <c r="A28" s="337">
        <f t="shared" si="4"/>
        <v>150</v>
      </c>
      <c r="B28" s="339" t="s">
        <v>218</v>
      </c>
      <c r="C28" s="417">
        <v>0</v>
      </c>
      <c r="D28" s="347">
        <f t="shared" si="3"/>
        <v>0</v>
      </c>
      <c r="E28" s="337">
        <f t="shared" si="5"/>
        <v>150</v>
      </c>
    </row>
    <row r="29" spans="1:5" ht="12.75">
      <c r="A29" s="337">
        <f t="shared" si="4"/>
        <v>151</v>
      </c>
      <c r="B29" s="339" t="s">
        <v>468</v>
      </c>
      <c r="C29" s="417">
        <v>42189.19</v>
      </c>
      <c r="D29" s="347">
        <f t="shared" si="3"/>
        <v>42189.19</v>
      </c>
      <c r="E29" s="337">
        <f t="shared" si="5"/>
        <v>151</v>
      </c>
    </row>
    <row r="30" spans="1:5" ht="12.75">
      <c r="A30" s="337">
        <f t="shared" si="4"/>
        <v>152</v>
      </c>
      <c r="B30" s="339" t="s">
        <v>219</v>
      </c>
      <c r="C30" s="417">
        <v>0</v>
      </c>
      <c r="D30" s="347">
        <f t="shared" si="3"/>
        <v>0</v>
      </c>
      <c r="E30" s="337">
        <f t="shared" si="5"/>
        <v>152</v>
      </c>
    </row>
    <row r="31" spans="1:5" ht="12.75">
      <c r="A31" s="337">
        <f t="shared" si="4"/>
        <v>153</v>
      </c>
      <c r="B31" s="339" t="s">
        <v>220</v>
      </c>
      <c r="C31" s="417">
        <v>0</v>
      </c>
      <c r="D31" s="347">
        <f t="shared" si="3"/>
        <v>0</v>
      </c>
      <c r="E31" s="337">
        <f t="shared" si="5"/>
        <v>153</v>
      </c>
    </row>
    <row r="32" spans="1:5" ht="12.75">
      <c r="A32" s="337">
        <f t="shared" si="4"/>
        <v>154</v>
      </c>
      <c r="B32" s="339" t="s">
        <v>221</v>
      </c>
      <c r="C32" s="417">
        <v>0</v>
      </c>
      <c r="D32" s="347">
        <f t="shared" si="3"/>
        <v>0</v>
      </c>
      <c r="E32" s="337">
        <f t="shared" si="5"/>
        <v>154</v>
      </c>
    </row>
    <row r="33" spans="1:5" ht="12.75">
      <c r="A33" s="337">
        <f t="shared" si="4"/>
        <v>155</v>
      </c>
      <c r="B33" s="339" t="s">
        <v>222</v>
      </c>
      <c r="C33" s="417">
        <v>44.89</v>
      </c>
      <c r="D33" s="347">
        <f t="shared" si="3"/>
        <v>44.89</v>
      </c>
      <c r="E33" s="337">
        <f t="shared" si="5"/>
        <v>155</v>
      </c>
    </row>
    <row r="34" spans="1:5" ht="12.75">
      <c r="A34" s="337">
        <f t="shared" si="4"/>
        <v>156</v>
      </c>
      <c r="B34" s="339" t="s">
        <v>223</v>
      </c>
      <c r="C34" s="417">
        <v>0</v>
      </c>
      <c r="D34" s="347">
        <f t="shared" si="3"/>
        <v>0</v>
      </c>
      <c r="E34" s="337">
        <f t="shared" si="5"/>
        <v>156</v>
      </c>
    </row>
    <row r="35" spans="1:5" ht="12.75">
      <c r="A35" s="337">
        <f t="shared" si="4"/>
        <v>157</v>
      </c>
      <c r="B35" s="339" t="s">
        <v>91</v>
      </c>
      <c r="C35" s="417">
        <v>0</v>
      </c>
      <c r="D35" s="347">
        <f t="shared" si="3"/>
        <v>0</v>
      </c>
      <c r="E35" s="337">
        <f t="shared" si="5"/>
        <v>157</v>
      </c>
    </row>
    <row r="36" spans="1:5" ht="12.75">
      <c r="A36" s="337">
        <f t="shared" si="4"/>
        <v>158</v>
      </c>
      <c r="B36" s="339" t="s">
        <v>224</v>
      </c>
      <c r="C36" s="417">
        <v>0</v>
      </c>
      <c r="D36" s="347">
        <f t="shared" si="3"/>
        <v>0</v>
      </c>
      <c r="E36" s="337">
        <f t="shared" si="5"/>
        <v>158</v>
      </c>
    </row>
    <row r="37" spans="1:5" ht="12.75">
      <c r="A37" s="337">
        <f t="shared" si="4"/>
        <v>159</v>
      </c>
      <c r="B37" s="339" t="s">
        <v>225</v>
      </c>
      <c r="C37" s="417">
        <v>13470</v>
      </c>
      <c r="D37" s="347">
        <f t="shared" si="3"/>
        <v>13470</v>
      </c>
      <c r="E37" s="337">
        <f t="shared" si="5"/>
        <v>159</v>
      </c>
    </row>
    <row r="38" spans="1:5" ht="12.75">
      <c r="A38" s="337">
        <f t="shared" si="4"/>
        <v>160</v>
      </c>
      <c r="B38" s="339" t="s">
        <v>226</v>
      </c>
      <c r="C38" s="417">
        <v>0</v>
      </c>
      <c r="D38" s="347">
        <f t="shared" si="3"/>
        <v>0</v>
      </c>
      <c r="E38" s="337">
        <f t="shared" si="5"/>
        <v>160</v>
      </c>
    </row>
    <row r="39" spans="1:5" ht="12.75">
      <c r="A39" s="337">
        <f t="shared" si="4"/>
        <v>161</v>
      </c>
      <c r="B39" s="339" t="s">
        <v>227</v>
      </c>
      <c r="C39" s="417">
        <v>0</v>
      </c>
      <c r="D39" s="347">
        <f t="shared" si="3"/>
        <v>0</v>
      </c>
      <c r="E39" s="337">
        <f t="shared" si="5"/>
        <v>161</v>
      </c>
    </row>
    <row r="40" spans="1:5" ht="12.75">
      <c r="A40" s="337">
        <f t="shared" si="4"/>
        <v>162</v>
      </c>
      <c r="B40" s="339" t="s">
        <v>228</v>
      </c>
      <c r="C40" s="417">
        <v>0</v>
      </c>
      <c r="D40" s="347">
        <f t="shared" si="3"/>
        <v>0</v>
      </c>
      <c r="E40" s="337">
        <f t="shared" si="5"/>
        <v>162</v>
      </c>
    </row>
    <row r="41" spans="1:5" ht="12.75">
      <c r="A41" s="337">
        <f t="shared" si="4"/>
        <v>163</v>
      </c>
      <c r="B41" s="339" t="s">
        <v>229</v>
      </c>
      <c r="C41" s="417">
        <v>0</v>
      </c>
      <c r="D41" s="347">
        <f t="shared" si="3"/>
        <v>0</v>
      </c>
      <c r="E41" s="337">
        <f t="shared" si="5"/>
        <v>163</v>
      </c>
    </row>
    <row r="42" spans="1:5" ht="12.75">
      <c r="A42" s="337">
        <f t="shared" si="4"/>
        <v>164</v>
      </c>
      <c r="B42" s="339" t="s">
        <v>230</v>
      </c>
      <c r="C42" s="417">
        <v>0</v>
      </c>
      <c r="D42" s="347">
        <f t="shared" si="3"/>
        <v>0</v>
      </c>
      <c r="E42" s="337">
        <f t="shared" si="5"/>
        <v>164</v>
      </c>
    </row>
    <row r="43" spans="1:5" ht="12.75">
      <c r="A43" s="337">
        <f t="shared" si="4"/>
        <v>165</v>
      </c>
      <c r="B43" s="339" t="s">
        <v>140</v>
      </c>
      <c r="C43" s="417">
        <v>0</v>
      </c>
      <c r="D43" s="347">
        <f t="shared" si="3"/>
        <v>0</v>
      </c>
      <c r="E43" s="337">
        <f t="shared" si="5"/>
        <v>165</v>
      </c>
    </row>
    <row r="44" spans="1:5" ht="12.75">
      <c r="A44" s="337">
        <f t="shared" si="4"/>
        <v>166</v>
      </c>
      <c r="B44" s="339" t="s">
        <v>141</v>
      </c>
      <c r="C44" s="417">
        <v>0</v>
      </c>
      <c r="D44" s="347">
        <f t="shared" si="3"/>
        <v>0</v>
      </c>
      <c r="E44" s="337">
        <f t="shared" si="5"/>
        <v>166</v>
      </c>
    </row>
    <row r="45" spans="1:5" ht="12.75">
      <c r="A45" s="337">
        <f t="shared" si="4"/>
        <v>167</v>
      </c>
      <c r="B45" s="339" t="s">
        <v>142</v>
      </c>
      <c r="C45" s="417">
        <v>992.16</v>
      </c>
      <c r="D45" s="347">
        <f t="shared" si="3"/>
        <v>992.16</v>
      </c>
      <c r="E45" s="337">
        <f t="shared" si="5"/>
        <v>167</v>
      </c>
    </row>
    <row r="46" spans="1:5" ht="13.5" thickBot="1">
      <c r="A46" s="337">
        <f t="shared" si="4"/>
        <v>168</v>
      </c>
      <c r="B46" s="339" t="s">
        <v>143</v>
      </c>
      <c r="C46" s="531">
        <v>1480.73</v>
      </c>
      <c r="D46" s="347">
        <f t="shared" si="3"/>
        <v>1480.73</v>
      </c>
      <c r="E46" s="337">
        <f t="shared" si="5"/>
        <v>168</v>
      </c>
    </row>
    <row r="47" spans="1:5" ht="12.75">
      <c r="A47" s="337">
        <f t="shared" si="4"/>
        <v>169</v>
      </c>
      <c r="B47" s="339" t="s">
        <v>92</v>
      </c>
      <c r="C47" s="419">
        <f>SUM(C25:C46)</f>
        <v>150731.93000000005</v>
      </c>
      <c r="D47" s="420">
        <f t="shared" si="3"/>
        <v>150731.93000000005</v>
      </c>
      <c r="E47" s="337">
        <f t="shared" si="5"/>
        <v>169</v>
      </c>
    </row>
    <row r="48" spans="1:5" ht="12.75">
      <c r="A48" s="348" t="s">
        <v>439</v>
      </c>
      <c r="B48" s="416" t="s">
        <v>144</v>
      </c>
      <c r="C48" s="532"/>
      <c r="D48" s="532"/>
      <c r="E48" s="348" t="s">
        <v>439</v>
      </c>
    </row>
    <row r="49" spans="1:5" ht="12.75">
      <c r="A49" s="337">
        <v>170</v>
      </c>
      <c r="B49" s="339" t="s">
        <v>145</v>
      </c>
      <c r="C49" s="346">
        <v>14661</v>
      </c>
      <c r="D49" s="347">
        <f aca="true" t="shared" si="6" ref="D49:D54">C49</f>
        <v>14661</v>
      </c>
      <c r="E49" s="337">
        <v>170</v>
      </c>
    </row>
    <row r="50" spans="1:5" ht="12.75">
      <c r="A50" s="337">
        <v>171</v>
      </c>
      <c r="B50" s="339" t="s">
        <v>565</v>
      </c>
      <c r="C50" s="346">
        <v>18700</v>
      </c>
      <c r="D50" s="347">
        <f t="shared" si="6"/>
        <v>18700</v>
      </c>
      <c r="E50" s="337">
        <v>171</v>
      </c>
    </row>
    <row r="51" spans="1:5" ht="12.75">
      <c r="A51" s="337">
        <v>172</v>
      </c>
      <c r="B51" s="339" t="s">
        <v>146</v>
      </c>
      <c r="C51" s="346">
        <v>26454</v>
      </c>
      <c r="D51" s="347">
        <f t="shared" si="6"/>
        <v>26454</v>
      </c>
      <c r="E51" s="337">
        <v>172</v>
      </c>
    </row>
    <row r="52" spans="1:5" ht="12.75">
      <c r="A52" s="337">
        <v>173</v>
      </c>
      <c r="B52" s="339" t="s">
        <v>147</v>
      </c>
      <c r="C52" s="346">
        <v>12300.74</v>
      </c>
      <c r="D52" s="347">
        <f t="shared" si="6"/>
        <v>12300.74</v>
      </c>
      <c r="E52" s="337">
        <v>173</v>
      </c>
    </row>
    <row r="53" spans="1:5" ht="13.5" thickBot="1">
      <c r="A53" s="337">
        <v>174</v>
      </c>
      <c r="B53" s="339" t="s">
        <v>148</v>
      </c>
      <c r="C53" s="528">
        <v>0</v>
      </c>
      <c r="D53" s="347">
        <f t="shared" si="6"/>
        <v>0</v>
      </c>
      <c r="E53" s="337">
        <v>174</v>
      </c>
    </row>
    <row r="54" spans="1:5" ht="13.5" thickBot="1">
      <c r="A54" s="361">
        <v>175</v>
      </c>
      <c r="B54" s="421" t="s">
        <v>93</v>
      </c>
      <c r="C54" s="422">
        <f>SUM(C49:C53)</f>
        <v>72115.74</v>
      </c>
      <c r="D54" s="423">
        <f t="shared" si="6"/>
        <v>72115.74</v>
      </c>
      <c r="E54" s="361">
        <v>175</v>
      </c>
    </row>
    <row r="55" spans="1:5" ht="12.75">
      <c r="A55" s="409"/>
      <c r="B55" s="399"/>
      <c r="C55" s="424"/>
      <c r="D55" s="424"/>
      <c r="E55" s="409"/>
    </row>
    <row r="56" spans="1:5" ht="18.75">
      <c r="A56" s="425" t="s">
        <v>149</v>
      </c>
      <c r="B56" s="369"/>
      <c r="C56" s="369"/>
      <c r="D56" s="369"/>
      <c r="E56" s="369"/>
    </row>
    <row r="60" ht="12.75">
      <c r="B60" s="372"/>
    </row>
  </sheetData>
  <printOptions/>
  <pageMargins left="0.5" right="0.6" top="0.33" bottom="0.25" header="0.59" footer="0.33"/>
  <pageSetup horizontalDpi="300" verticalDpi="300" orientation="portrait" r:id="rId1"/>
</worksheet>
</file>

<file path=xl/worksheets/sheet23.xml><?xml version="1.0" encoding="utf-8"?>
<worksheet xmlns="http://schemas.openxmlformats.org/spreadsheetml/2006/main" xmlns:r="http://schemas.openxmlformats.org/officeDocument/2006/relationships">
  <sheetPr codeName="Sheet23">
    <tabColor indexed="43"/>
    <outlinePr summaryBelow="0" summaryRight="0"/>
    <pageSetUpPr fitToPage="1"/>
  </sheetPr>
  <dimension ref="A1:H60"/>
  <sheetViews>
    <sheetView showOutlineSymbols="0" zoomScale="75" zoomScaleNormal="75" workbookViewId="0" topLeftCell="A1">
      <selection activeCell="A1" sqref="A1"/>
    </sheetView>
  </sheetViews>
  <sheetFormatPr defaultColWidth="9.140625" defaultRowHeight="12.75"/>
  <cols>
    <col min="1" max="1" width="5.00390625" style="253" customWidth="1"/>
    <col min="2" max="2" width="45.7109375" style="253" customWidth="1"/>
    <col min="3" max="4" width="19.00390625" style="253" customWidth="1"/>
    <col min="5" max="5" width="5.00390625" style="253" customWidth="1"/>
    <col min="6" max="16384" width="9.140625" style="253" customWidth="1"/>
  </cols>
  <sheetData>
    <row r="1" ht="13.5">
      <c r="A1" s="252" t="s">
        <v>53</v>
      </c>
    </row>
    <row r="2" ht="6.75" customHeight="1"/>
    <row r="3" spans="1:5" ht="18.75" customHeight="1">
      <c r="A3" s="373" t="s">
        <v>196</v>
      </c>
      <c r="B3" s="323"/>
      <c r="C3" s="323"/>
      <c r="D3" s="323"/>
      <c r="E3" s="323"/>
    </row>
    <row r="4" spans="1:5" ht="9" customHeight="1" thickBot="1">
      <c r="A4" s="373"/>
      <c r="B4" s="323"/>
      <c r="C4" s="323"/>
      <c r="D4" s="323"/>
      <c r="E4" s="323"/>
    </row>
    <row r="5" spans="1:5" ht="12.75">
      <c r="A5" s="327" t="s">
        <v>486</v>
      </c>
      <c r="B5" s="327" t="s">
        <v>352</v>
      </c>
      <c r="C5" s="327" t="s">
        <v>197</v>
      </c>
      <c r="D5" s="327" t="s">
        <v>490</v>
      </c>
      <c r="E5" s="327" t="s">
        <v>486</v>
      </c>
    </row>
    <row r="6" spans="1:5" ht="10.5" customHeight="1">
      <c r="A6" s="329" t="s">
        <v>552</v>
      </c>
      <c r="B6" s="329" t="s">
        <v>198</v>
      </c>
      <c r="C6" s="329" t="s">
        <v>199</v>
      </c>
      <c r="D6" s="329" t="s">
        <v>199</v>
      </c>
      <c r="E6" s="329" t="s">
        <v>552</v>
      </c>
    </row>
    <row r="7" spans="1:5" ht="11.25" customHeight="1" thickBot="1">
      <c r="A7" s="331"/>
      <c r="B7" s="331" t="s">
        <v>360</v>
      </c>
      <c r="C7" s="331" t="s">
        <v>361</v>
      </c>
      <c r="D7" s="331" t="s">
        <v>362</v>
      </c>
      <c r="E7" s="331"/>
    </row>
    <row r="8" spans="1:5" ht="12" customHeight="1">
      <c r="A8" s="426" t="s">
        <v>439</v>
      </c>
      <c r="B8" s="375" t="s">
        <v>200</v>
      </c>
      <c r="C8" s="415"/>
      <c r="D8" s="415"/>
      <c r="E8" s="426" t="s">
        <v>439</v>
      </c>
    </row>
    <row r="9" spans="1:5" ht="11.25" customHeight="1">
      <c r="A9" s="348" t="s">
        <v>439</v>
      </c>
      <c r="B9" s="427" t="s">
        <v>201</v>
      </c>
      <c r="C9" s="349"/>
      <c r="D9" s="349"/>
      <c r="E9" s="348" t="s">
        <v>439</v>
      </c>
    </row>
    <row r="10" spans="1:5" ht="12.75">
      <c r="A10" s="350" t="s">
        <v>439</v>
      </c>
      <c r="B10" s="427" t="s">
        <v>150</v>
      </c>
      <c r="C10" s="359"/>
      <c r="D10" s="360"/>
      <c r="E10" s="350" t="s">
        <v>439</v>
      </c>
    </row>
    <row r="11" spans="1:5" ht="12.75">
      <c r="A11" s="337">
        <v>176</v>
      </c>
      <c r="B11" s="339" t="s">
        <v>151</v>
      </c>
      <c r="C11" s="428">
        <v>0</v>
      </c>
      <c r="D11" s="420">
        <f>C11</f>
        <v>0</v>
      </c>
      <c r="E11" s="337">
        <v>176</v>
      </c>
    </row>
    <row r="12" spans="1:5" ht="12.75">
      <c r="A12" s="337">
        <f>1+A11</f>
        <v>177</v>
      </c>
      <c r="B12" s="339" t="s">
        <v>152</v>
      </c>
      <c r="C12" s="346">
        <v>0</v>
      </c>
      <c r="D12" s="420">
        <f>C12</f>
        <v>0</v>
      </c>
      <c r="E12" s="337">
        <f>1+E11</f>
        <v>177</v>
      </c>
    </row>
    <row r="13" spans="1:5" ht="12.75">
      <c r="A13" s="337">
        <f>1+A12</f>
        <v>178</v>
      </c>
      <c r="B13" s="339" t="s">
        <v>153</v>
      </c>
      <c r="C13" s="346">
        <v>0</v>
      </c>
      <c r="D13" s="420">
        <f>C13</f>
        <v>0</v>
      </c>
      <c r="E13" s="337">
        <f>1+E12</f>
        <v>178</v>
      </c>
    </row>
    <row r="14" spans="1:5" ht="13.5" thickBot="1">
      <c r="A14" s="337">
        <f>1+A13</f>
        <v>179</v>
      </c>
      <c r="B14" s="339" t="s">
        <v>154</v>
      </c>
      <c r="C14" s="528">
        <v>0</v>
      </c>
      <c r="D14" s="420">
        <f>C14</f>
        <v>0</v>
      </c>
      <c r="E14" s="337">
        <f>1+E13</f>
        <v>179</v>
      </c>
    </row>
    <row r="15" spans="1:5" ht="12.75">
      <c r="A15" s="340">
        <v>180</v>
      </c>
      <c r="B15" s="339" t="s">
        <v>94</v>
      </c>
      <c r="C15" s="428">
        <f>SUM(C11:C14)</f>
        <v>0</v>
      </c>
      <c r="D15" s="420">
        <f>C15</f>
        <v>0</v>
      </c>
      <c r="E15" s="340">
        <v>180</v>
      </c>
    </row>
    <row r="16" spans="1:5" ht="12.75">
      <c r="A16" s="353"/>
      <c r="B16" s="416" t="s">
        <v>155</v>
      </c>
      <c r="C16" s="529"/>
      <c r="D16" s="530"/>
      <c r="E16" s="353"/>
    </row>
    <row r="17" spans="1:5" ht="12.75">
      <c r="A17" s="337">
        <v>181</v>
      </c>
      <c r="B17" s="339" t="s">
        <v>156</v>
      </c>
      <c r="C17" s="346">
        <v>0</v>
      </c>
      <c r="D17" s="420">
        <f>C17</f>
        <v>0</v>
      </c>
      <c r="E17" s="337">
        <v>181</v>
      </c>
    </row>
    <row r="18" spans="1:5" ht="12.75">
      <c r="A18" s="337">
        <f>1+A17</f>
        <v>182</v>
      </c>
      <c r="B18" s="339" t="s">
        <v>157</v>
      </c>
      <c r="C18" s="346">
        <v>31.88</v>
      </c>
      <c r="D18" s="420">
        <f>C18</f>
        <v>31.88</v>
      </c>
      <c r="E18" s="337">
        <f>1+E17</f>
        <v>182</v>
      </c>
    </row>
    <row r="19" spans="1:5" ht="12.75">
      <c r="A19" s="337">
        <f>1+A18</f>
        <v>183</v>
      </c>
      <c r="B19" s="339" t="s">
        <v>158</v>
      </c>
      <c r="C19" s="346">
        <v>0</v>
      </c>
      <c r="D19" s="420">
        <f>C19</f>
        <v>0</v>
      </c>
      <c r="E19" s="337">
        <f>1+E18</f>
        <v>183</v>
      </c>
    </row>
    <row r="20" spans="1:5" ht="13.5" thickBot="1">
      <c r="A20" s="337">
        <f>1+A19</f>
        <v>184</v>
      </c>
      <c r="B20" s="339" t="s">
        <v>159</v>
      </c>
      <c r="C20" s="528">
        <v>0</v>
      </c>
      <c r="D20" s="420">
        <f>C20</f>
        <v>0</v>
      </c>
      <c r="E20" s="337">
        <f>1+E19</f>
        <v>184</v>
      </c>
    </row>
    <row r="21" spans="1:5" ht="12.75">
      <c r="A21" s="337">
        <f>1+A20</f>
        <v>185</v>
      </c>
      <c r="B21" s="339" t="s">
        <v>95</v>
      </c>
      <c r="C21" s="346">
        <f>SUM(C17:C20)</f>
        <v>31.88</v>
      </c>
      <c r="D21" s="420">
        <f>C21</f>
        <v>31.88</v>
      </c>
      <c r="E21" s="337">
        <f>1+E20</f>
        <v>185</v>
      </c>
    </row>
    <row r="22" spans="1:5" ht="12.75">
      <c r="A22" s="353" t="s">
        <v>439</v>
      </c>
      <c r="B22" s="416" t="s">
        <v>160</v>
      </c>
      <c r="C22" s="529"/>
      <c r="D22" s="530"/>
      <c r="E22" s="353" t="s">
        <v>439</v>
      </c>
    </row>
    <row r="23" spans="1:5" ht="12.75">
      <c r="A23" s="337">
        <v>186</v>
      </c>
      <c r="B23" s="339" t="s">
        <v>161</v>
      </c>
      <c r="C23" s="346">
        <v>76281</v>
      </c>
      <c r="D23" s="420">
        <f aca="true" t="shared" si="0" ref="D23:D38">C23</f>
        <v>76281</v>
      </c>
      <c r="E23" s="337">
        <v>186</v>
      </c>
    </row>
    <row r="24" spans="1:5" ht="12.75">
      <c r="A24" s="337">
        <f aca="true" t="shared" si="1" ref="A24:A38">1+A23</f>
        <v>187</v>
      </c>
      <c r="B24" s="339" t="s">
        <v>441</v>
      </c>
      <c r="C24" s="346">
        <f>16138.93+2892+6910+922.01</f>
        <v>26862.94</v>
      </c>
      <c r="D24" s="420">
        <f t="shared" si="0"/>
        <v>26862.94</v>
      </c>
      <c r="E24" s="337">
        <f aca="true" t="shared" si="2" ref="E24:E38">1+E23</f>
        <v>187</v>
      </c>
    </row>
    <row r="25" spans="1:5" ht="12.75">
      <c r="A25" s="337">
        <f t="shared" si="1"/>
        <v>188</v>
      </c>
      <c r="B25" s="339" t="s">
        <v>162</v>
      </c>
      <c r="C25" s="346">
        <v>0</v>
      </c>
      <c r="D25" s="420">
        <f t="shared" si="0"/>
        <v>0</v>
      </c>
      <c r="E25" s="337">
        <f t="shared" si="2"/>
        <v>188</v>
      </c>
    </row>
    <row r="26" spans="1:5" ht="12.75">
      <c r="A26" s="337">
        <f t="shared" si="1"/>
        <v>189</v>
      </c>
      <c r="B26" s="339" t="s">
        <v>163</v>
      </c>
      <c r="C26" s="346">
        <v>62147.93</v>
      </c>
      <c r="D26" s="420">
        <f t="shared" si="0"/>
        <v>62147.93</v>
      </c>
      <c r="E26" s="337">
        <f t="shared" si="2"/>
        <v>189</v>
      </c>
    </row>
    <row r="27" spans="1:5" ht="12.75">
      <c r="A27" s="337">
        <f t="shared" si="1"/>
        <v>190</v>
      </c>
      <c r="B27" s="339" t="s">
        <v>443</v>
      </c>
      <c r="C27" s="346">
        <v>20428</v>
      </c>
      <c r="D27" s="420">
        <f t="shared" si="0"/>
        <v>20428</v>
      </c>
      <c r="E27" s="337">
        <f t="shared" si="2"/>
        <v>190</v>
      </c>
    </row>
    <row r="28" spans="1:5" ht="12.75">
      <c r="A28" s="337">
        <f t="shared" si="1"/>
        <v>191</v>
      </c>
      <c r="B28" s="339" t="s">
        <v>164</v>
      </c>
      <c r="C28" s="346">
        <v>0</v>
      </c>
      <c r="D28" s="420">
        <f t="shared" si="0"/>
        <v>0</v>
      </c>
      <c r="E28" s="337">
        <f t="shared" si="2"/>
        <v>191</v>
      </c>
    </row>
    <row r="29" spans="1:5" ht="12.75">
      <c r="A29" s="337">
        <f t="shared" si="1"/>
        <v>192</v>
      </c>
      <c r="B29" s="339" t="s">
        <v>165</v>
      </c>
      <c r="C29" s="346">
        <v>15810</v>
      </c>
      <c r="D29" s="420">
        <f t="shared" si="0"/>
        <v>15810</v>
      </c>
      <c r="E29" s="337">
        <f t="shared" si="2"/>
        <v>192</v>
      </c>
    </row>
    <row r="30" spans="1:5" ht="12.75">
      <c r="A30" s="337">
        <f t="shared" si="1"/>
        <v>193</v>
      </c>
      <c r="B30" s="339" t="s">
        <v>166</v>
      </c>
      <c r="C30" s="346">
        <v>0</v>
      </c>
      <c r="D30" s="420">
        <f t="shared" si="0"/>
        <v>0</v>
      </c>
      <c r="E30" s="337">
        <f t="shared" si="2"/>
        <v>193</v>
      </c>
    </row>
    <row r="31" spans="1:5" ht="12.75">
      <c r="A31" s="337">
        <f t="shared" si="1"/>
        <v>194</v>
      </c>
      <c r="B31" s="339" t="s">
        <v>167</v>
      </c>
      <c r="C31" s="346">
        <v>0</v>
      </c>
      <c r="D31" s="420">
        <f t="shared" si="0"/>
        <v>0</v>
      </c>
      <c r="E31" s="337">
        <f t="shared" si="2"/>
        <v>194</v>
      </c>
    </row>
    <row r="32" spans="1:5" ht="12.75">
      <c r="A32" s="337">
        <f t="shared" si="1"/>
        <v>195</v>
      </c>
      <c r="B32" s="339" t="s">
        <v>168</v>
      </c>
      <c r="C32" s="346">
        <v>0</v>
      </c>
      <c r="D32" s="420">
        <f t="shared" si="0"/>
        <v>0</v>
      </c>
      <c r="E32" s="337">
        <f t="shared" si="2"/>
        <v>195</v>
      </c>
    </row>
    <row r="33" spans="1:5" ht="12.75">
      <c r="A33" s="337">
        <f t="shared" si="1"/>
        <v>196</v>
      </c>
      <c r="B33" s="339" t="s">
        <v>169</v>
      </c>
      <c r="C33" s="346">
        <v>0</v>
      </c>
      <c r="D33" s="420">
        <f t="shared" si="0"/>
        <v>0</v>
      </c>
      <c r="E33" s="337">
        <f t="shared" si="2"/>
        <v>196</v>
      </c>
    </row>
    <row r="34" spans="1:5" ht="12.75">
      <c r="A34" s="337">
        <f t="shared" si="1"/>
        <v>197</v>
      </c>
      <c r="B34" s="339" t="s">
        <v>96</v>
      </c>
      <c r="C34" s="346">
        <v>297</v>
      </c>
      <c r="D34" s="420">
        <f t="shared" si="0"/>
        <v>297</v>
      </c>
      <c r="E34" s="337">
        <f t="shared" si="2"/>
        <v>197</v>
      </c>
    </row>
    <row r="35" spans="1:5" ht="12.75">
      <c r="A35" s="337">
        <f t="shared" si="1"/>
        <v>198</v>
      </c>
      <c r="B35" s="339" t="s">
        <v>574</v>
      </c>
      <c r="C35" s="417">
        <v>10160</v>
      </c>
      <c r="D35" s="420">
        <f t="shared" si="0"/>
        <v>10160</v>
      </c>
      <c r="E35" s="337">
        <f t="shared" si="2"/>
        <v>198</v>
      </c>
    </row>
    <row r="36" spans="1:5" ht="13.5" thickBot="1">
      <c r="A36" s="337">
        <f t="shared" si="1"/>
        <v>199</v>
      </c>
      <c r="B36" s="339" t="s">
        <v>170</v>
      </c>
      <c r="C36" s="531">
        <v>0</v>
      </c>
      <c r="D36" s="420">
        <f t="shared" si="0"/>
        <v>0</v>
      </c>
      <c r="E36" s="337">
        <f t="shared" si="2"/>
        <v>199</v>
      </c>
    </row>
    <row r="37" spans="1:5" ht="13.5" thickBot="1">
      <c r="A37" s="337">
        <f t="shared" si="1"/>
        <v>200</v>
      </c>
      <c r="B37" s="393" t="s">
        <v>97</v>
      </c>
      <c r="C37" s="422">
        <f>SUM(C23:C36)</f>
        <v>211986.87</v>
      </c>
      <c r="D37" s="420">
        <f t="shared" si="0"/>
        <v>211986.87</v>
      </c>
      <c r="E37" s="337">
        <f t="shared" si="2"/>
        <v>200</v>
      </c>
    </row>
    <row r="38" spans="1:5" ht="13.5" thickBot="1">
      <c r="A38" s="337">
        <f t="shared" si="1"/>
        <v>201</v>
      </c>
      <c r="B38" s="429" t="s">
        <v>171</v>
      </c>
      <c r="C38" s="356">
        <v>1183533.65</v>
      </c>
      <c r="D38" s="420">
        <f t="shared" si="0"/>
        <v>1183533.65</v>
      </c>
      <c r="E38" s="337">
        <f t="shared" si="2"/>
        <v>201</v>
      </c>
    </row>
    <row r="39" spans="1:5" ht="12.75">
      <c r="A39" s="350" t="s">
        <v>439</v>
      </c>
      <c r="B39" s="396" t="s">
        <v>172</v>
      </c>
      <c r="C39" s="532"/>
      <c r="D39" s="532"/>
      <c r="E39" s="350" t="s">
        <v>439</v>
      </c>
    </row>
    <row r="40" spans="1:5" ht="12.75">
      <c r="A40" s="350" t="s">
        <v>439</v>
      </c>
      <c r="B40" s="430" t="s">
        <v>173</v>
      </c>
      <c r="C40" s="532"/>
      <c r="D40" s="532"/>
      <c r="E40" s="350" t="s">
        <v>439</v>
      </c>
    </row>
    <row r="41" spans="1:5" ht="12.75">
      <c r="A41" s="337">
        <v>202</v>
      </c>
      <c r="B41" s="339" t="s">
        <v>174</v>
      </c>
      <c r="C41" s="346">
        <v>91794.14</v>
      </c>
      <c r="D41" s="420">
        <f aca="true" t="shared" si="3" ref="D41:D52">C41</f>
        <v>91794.14</v>
      </c>
      <c r="E41" s="337">
        <v>202</v>
      </c>
    </row>
    <row r="42" spans="1:5" ht="12.75">
      <c r="A42" s="337">
        <f>1+A41</f>
        <v>203</v>
      </c>
      <c r="B42" s="339" t="s">
        <v>175</v>
      </c>
      <c r="C42" s="346">
        <v>-2934</v>
      </c>
      <c r="D42" s="420">
        <f t="shared" si="3"/>
        <v>-2934</v>
      </c>
      <c r="E42" s="337">
        <f>1+E41</f>
        <v>203</v>
      </c>
    </row>
    <row r="43" spans="1:5" ht="12.75">
      <c r="A43" s="337">
        <v>204</v>
      </c>
      <c r="B43" s="339" t="s">
        <v>176</v>
      </c>
      <c r="C43" s="346">
        <v>0</v>
      </c>
      <c r="D43" s="420">
        <f t="shared" si="3"/>
        <v>0</v>
      </c>
      <c r="E43" s="337">
        <v>204</v>
      </c>
    </row>
    <row r="44" spans="1:5" ht="12.75">
      <c r="A44" s="337">
        <v>205</v>
      </c>
      <c r="B44" s="339" t="s">
        <v>177</v>
      </c>
      <c r="C44" s="533">
        <v>10256</v>
      </c>
      <c r="D44" s="534">
        <f t="shared" si="3"/>
        <v>10256</v>
      </c>
      <c r="E44" s="337">
        <v>205</v>
      </c>
    </row>
    <row r="45" spans="1:5" ht="12.75">
      <c r="A45" s="337">
        <f>1+A44</f>
        <v>206</v>
      </c>
      <c r="B45" s="339" t="s">
        <v>178</v>
      </c>
      <c r="C45" s="346">
        <v>0</v>
      </c>
      <c r="D45" s="420">
        <f t="shared" si="3"/>
        <v>0</v>
      </c>
      <c r="E45" s="337">
        <f>1+E44</f>
        <v>206</v>
      </c>
    </row>
    <row r="46" spans="1:5" ht="12.75">
      <c r="A46" s="337">
        <f>1+A45</f>
        <v>207</v>
      </c>
      <c r="B46" s="339" t="s">
        <v>179</v>
      </c>
      <c r="C46" s="346">
        <v>0</v>
      </c>
      <c r="D46" s="420">
        <f t="shared" si="3"/>
        <v>0</v>
      </c>
      <c r="E46" s="337">
        <f>1+E45</f>
        <v>207</v>
      </c>
    </row>
    <row r="47" spans="1:5" ht="12.75">
      <c r="A47" s="337">
        <f>1+A46</f>
        <v>208</v>
      </c>
      <c r="B47" s="339" t="s">
        <v>180</v>
      </c>
      <c r="C47" s="346">
        <v>0</v>
      </c>
      <c r="D47" s="420">
        <f t="shared" si="3"/>
        <v>0</v>
      </c>
      <c r="E47" s="337">
        <f>1+E46</f>
        <v>208</v>
      </c>
    </row>
    <row r="48" spans="1:5" ht="12.75">
      <c r="A48" s="337">
        <f>1+A47</f>
        <v>209</v>
      </c>
      <c r="B48" s="339" t="s">
        <v>181</v>
      </c>
      <c r="C48" s="346">
        <v>0</v>
      </c>
      <c r="D48" s="420">
        <f t="shared" si="3"/>
        <v>0</v>
      </c>
      <c r="E48" s="337">
        <f>1+E47</f>
        <v>209</v>
      </c>
    </row>
    <row r="49" spans="1:5" ht="12.75">
      <c r="A49" s="337">
        <v>210</v>
      </c>
      <c r="B49" s="339" t="s">
        <v>182</v>
      </c>
      <c r="C49" s="346">
        <v>0</v>
      </c>
      <c r="D49" s="420">
        <f t="shared" si="3"/>
        <v>0</v>
      </c>
      <c r="E49" s="337">
        <v>210</v>
      </c>
    </row>
    <row r="50" spans="1:5" ht="13.5" thickBot="1">
      <c r="A50" s="337">
        <v>211</v>
      </c>
      <c r="B50" s="339" t="s">
        <v>183</v>
      </c>
      <c r="C50" s="528">
        <v>0</v>
      </c>
      <c r="D50" s="420">
        <f t="shared" si="3"/>
        <v>0</v>
      </c>
      <c r="E50" s="337">
        <v>211</v>
      </c>
    </row>
    <row r="51" spans="1:5" ht="13.5" thickBot="1">
      <c r="A51" s="337">
        <v>212</v>
      </c>
      <c r="B51" s="339" t="s">
        <v>98</v>
      </c>
      <c r="C51" s="431">
        <f>SUM(C41:C50)</f>
        <v>99116.14</v>
      </c>
      <c r="D51" s="420">
        <f t="shared" si="3"/>
        <v>99116.14</v>
      </c>
      <c r="E51" s="337">
        <v>212</v>
      </c>
    </row>
    <row r="52" spans="1:5" ht="13.5" thickBot="1">
      <c r="A52" s="337">
        <f>1+A51</f>
        <v>213</v>
      </c>
      <c r="B52" s="416" t="s">
        <v>99</v>
      </c>
      <c r="C52" s="432">
        <f>C38+C51</f>
        <v>1282649.7899999998</v>
      </c>
      <c r="D52" s="420">
        <f t="shared" si="3"/>
        <v>1282649.7899999998</v>
      </c>
      <c r="E52" s="337">
        <f>1+E51</f>
        <v>213</v>
      </c>
    </row>
    <row r="53" spans="1:5" ht="11.25" customHeight="1" thickBot="1">
      <c r="A53" s="433"/>
      <c r="B53" s="434"/>
      <c r="C53" s="535"/>
      <c r="D53" s="536"/>
      <c r="E53" s="433"/>
    </row>
    <row r="54" spans="2:8" ht="12.75">
      <c r="B54" s="435" t="s">
        <v>283</v>
      </c>
      <c r="C54" s="371"/>
      <c r="D54" s="371"/>
      <c r="E54" s="371"/>
      <c r="F54" s="371"/>
      <c r="G54" s="371"/>
      <c r="H54" s="371"/>
    </row>
    <row r="55" spans="2:8" ht="10.5" customHeight="1">
      <c r="B55" s="435" t="s">
        <v>187</v>
      </c>
      <c r="C55" s="371"/>
      <c r="D55" s="371"/>
      <c r="E55" s="371"/>
      <c r="F55" s="371"/>
      <c r="G55" s="371"/>
      <c r="H55" s="371"/>
    </row>
    <row r="56" spans="1:5" ht="16.5" customHeight="1">
      <c r="A56" s="368" t="s">
        <v>184</v>
      </c>
      <c r="B56" s="369"/>
      <c r="C56" s="323"/>
      <c r="D56" s="323"/>
      <c r="E56" s="369"/>
    </row>
    <row r="60" ht="12.75">
      <c r="B60" s="372"/>
    </row>
  </sheetData>
  <printOptions/>
  <pageMargins left="0.74" right="0.4" top="0.29" bottom="0" header="0.5" footer="0.33"/>
  <pageSetup fitToHeight="1" fitToWidth="1" horizontalDpi="300" verticalDpi="300" orientation="portrait" r:id="rId1"/>
</worksheet>
</file>

<file path=xl/worksheets/sheet24.xml><?xml version="1.0" encoding="utf-8"?>
<worksheet xmlns="http://schemas.openxmlformats.org/spreadsheetml/2006/main" xmlns:r="http://schemas.openxmlformats.org/officeDocument/2006/relationships">
  <sheetPr codeName="Sheet24">
    <tabColor indexed="43"/>
  </sheetPr>
  <dimension ref="A4:AE116"/>
  <sheetViews>
    <sheetView zoomScale="75" zoomScaleNormal="75" workbookViewId="0" topLeftCell="A1">
      <selection activeCell="F29" sqref="F29"/>
    </sheetView>
  </sheetViews>
  <sheetFormatPr defaultColWidth="9.140625" defaultRowHeight="12.75"/>
  <cols>
    <col min="4" max="4" width="10.140625" style="0" customWidth="1"/>
    <col min="8" max="8" width="10.57421875" style="0" customWidth="1"/>
    <col min="9" max="9" width="12.421875" style="0" customWidth="1"/>
    <col min="11" max="11" width="10.7109375" style="0" customWidth="1"/>
    <col min="12" max="12" width="8.00390625" style="0" customWidth="1"/>
    <col min="13" max="13" width="8.140625" style="0" bestFit="1" customWidth="1"/>
    <col min="14" max="14" width="8.421875" style="0" customWidth="1"/>
    <col min="15" max="15" width="8.140625" style="0" customWidth="1"/>
    <col min="16" max="16" width="7.8515625" style="0" customWidth="1"/>
    <col min="17" max="17" width="11.421875" style="0" customWidth="1"/>
    <col min="19" max="19" width="10.421875" style="0" customWidth="1"/>
    <col min="21" max="21" width="9.28125" style="0" customWidth="1"/>
    <col min="23" max="23" width="10.28125" style="0" customWidth="1"/>
  </cols>
  <sheetData>
    <row r="4" ht="12.75">
      <c r="A4" s="227" t="s">
        <v>625</v>
      </c>
    </row>
    <row r="5" ht="4.5" customHeight="1">
      <c r="A5" s="457"/>
    </row>
    <row r="6" ht="5.25" customHeight="1"/>
    <row r="7" spans="2:27" ht="12.75">
      <c r="B7" s="458" t="s">
        <v>116</v>
      </c>
      <c r="C7" s="459"/>
      <c r="D7" s="459"/>
      <c r="E7" s="459"/>
      <c r="F7" s="459"/>
      <c r="G7" s="459"/>
      <c r="H7" s="459"/>
      <c r="I7" s="460"/>
      <c r="J7" s="756" t="s">
        <v>428</v>
      </c>
      <c r="K7" s="757"/>
      <c r="L7" s="756" t="s">
        <v>428</v>
      </c>
      <c r="M7" s="757"/>
      <c r="N7" s="458" t="s">
        <v>533</v>
      </c>
      <c r="O7" s="459"/>
      <c r="P7" s="459"/>
      <c r="Q7" s="459"/>
      <c r="R7" s="459"/>
      <c r="S7" s="460"/>
      <c r="T7" s="458" t="s">
        <v>117</v>
      </c>
      <c r="U7" s="459"/>
      <c r="V7" s="459"/>
      <c r="W7" s="460"/>
      <c r="X7" s="461" t="s">
        <v>118</v>
      </c>
      <c r="Y7" s="461"/>
      <c r="Z7" s="461"/>
      <c r="AA7" s="461"/>
    </row>
    <row r="8" spans="2:27" ht="12.75">
      <c r="B8" s="458" t="s">
        <v>119</v>
      </c>
      <c r="C8" s="460"/>
      <c r="D8" s="756" t="s">
        <v>120</v>
      </c>
      <c r="E8" s="758"/>
      <c r="F8" s="756" t="s">
        <v>121</v>
      </c>
      <c r="G8" s="758"/>
      <c r="H8" s="756" t="s">
        <v>122</v>
      </c>
      <c r="I8" s="758"/>
      <c r="J8" s="756" t="s">
        <v>119</v>
      </c>
      <c r="K8" s="758"/>
      <c r="L8" s="756" t="s">
        <v>120</v>
      </c>
      <c r="M8" s="758"/>
      <c r="N8" s="458" t="s">
        <v>119</v>
      </c>
      <c r="O8" s="460"/>
      <c r="P8" s="458" t="s">
        <v>123</v>
      </c>
      <c r="Q8" s="460"/>
      <c r="R8" s="458" t="s">
        <v>124</v>
      </c>
      <c r="S8" s="460"/>
      <c r="T8" s="458" t="s">
        <v>123</v>
      </c>
      <c r="U8" s="460"/>
      <c r="V8" s="458" t="s">
        <v>124</v>
      </c>
      <c r="W8" s="460"/>
      <c r="X8" s="462" t="s">
        <v>490</v>
      </c>
      <c r="Y8" s="463" t="s">
        <v>120</v>
      </c>
      <c r="Z8" s="463" t="s">
        <v>119</v>
      </c>
      <c r="AA8" s="463" t="s">
        <v>121</v>
      </c>
    </row>
    <row r="9" spans="2:27" ht="12.75">
      <c r="B9" s="464" t="s">
        <v>125</v>
      </c>
      <c r="C9" s="464" t="s">
        <v>126</v>
      </c>
      <c r="D9" s="464" t="s">
        <v>125</v>
      </c>
      <c r="E9" s="464" t="s">
        <v>126</v>
      </c>
      <c r="F9" s="464" t="s">
        <v>125</v>
      </c>
      <c r="G9" s="464" t="s">
        <v>126</v>
      </c>
      <c r="H9" s="464" t="s">
        <v>125</v>
      </c>
      <c r="I9" s="464" t="s">
        <v>126</v>
      </c>
      <c r="J9" s="464" t="s">
        <v>125</v>
      </c>
      <c r="K9" s="464" t="s">
        <v>126</v>
      </c>
      <c r="L9" s="464" t="s">
        <v>125</v>
      </c>
      <c r="M9" s="464" t="s">
        <v>126</v>
      </c>
      <c r="N9" s="464" t="s">
        <v>125</v>
      </c>
      <c r="O9" s="464" t="s">
        <v>126</v>
      </c>
      <c r="P9" s="464" t="s">
        <v>125</v>
      </c>
      <c r="Q9" s="464" t="s">
        <v>126</v>
      </c>
      <c r="R9" s="464" t="s">
        <v>125</v>
      </c>
      <c r="S9" s="464" t="s">
        <v>126</v>
      </c>
      <c r="T9" s="464" t="s">
        <v>125</v>
      </c>
      <c r="U9" s="464" t="s">
        <v>126</v>
      </c>
      <c r="V9" s="464" t="s">
        <v>125</v>
      </c>
      <c r="W9" s="464" t="s">
        <v>126</v>
      </c>
      <c r="X9" s="464" t="s">
        <v>126</v>
      </c>
      <c r="Y9" s="464" t="s">
        <v>126</v>
      </c>
      <c r="Z9" s="464" t="s">
        <v>126</v>
      </c>
      <c r="AA9" s="464" t="s">
        <v>126</v>
      </c>
    </row>
    <row r="10" spans="1:29" ht="12.75">
      <c r="A10" s="465">
        <v>38718</v>
      </c>
      <c r="B10" s="508">
        <v>1220</v>
      </c>
      <c r="C10" s="508">
        <v>9127.1</v>
      </c>
      <c r="D10" s="508">
        <v>0</v>
      </c>
      <c r="E10" s="508">
        <v>0</v>
      </c>
      <c r="F10" s="508">
        <v>0</v>
      </c>
      <c r="G10" s="508">
        <v>0</v>
      </c>
      <c r="H10" s="508">
        <v>1220</v>
      </c>
      <c r="I10" s="508">
        <v>9127.1</v>
      </c>
      <c r="J10" s="509">
        <v>1208</v>
      </c>
      <c r="K10" s="509">
        <v>8713</v>
      </c>
      <c r="L10" s="509">
        <v>0</v>
      </c>
      <c r="M10" s="509">
        <v>0</v>
      </c>
      <c r="N10" s="508">
        <v>12</v>
      </c>
      <c r="O10" s="508">
        <v>366.6</v>
      </c>
      <c r="P10" s="508">
        <v>0</v>
      </c>
      <c r="Q10" s="508">
        <v>0</v>
      </c>
      <c r="R10" s="508">
        <v>0</v>
      </c>
      <c r="S10" s="508">
        <v>0</v>
      </c>
      <c r="T10" s="508">
        <v>0</v>
      </c>
      <c r="U10" s="508">
        <v>0</v>
      </c>
      <c r="V10" s="508">
        <v>0</v>
      </c>
      <c r="W10" s="508">
        <v>0</v>
      </c>
      <c r="X10" s="508">
        <v>47.5</v>
      </c>
      <c r="Y10" s="508">
        <v>0</v>
      </c>
      <c r="Z10" s="508">
        <v>47.5</v>
      </c>
      <c r="AA10" s="508">
        <v>0</v>
      </c>
      <c r="AB10" s="508"/>
      <c r="AC10" s="508"/>
    </row>
    <row r="11" spans="1:29" ht="12.75">
      <c r="A11" s="465">
        <v>38749</v>
      </c>
      <c r="B11" s="508">
        <v>1234</v>
      </c>
      <c r="C11" s="508">
        <v>12321.7</v>
      </c>
      <c r="D11" s="508">
        <v>0</v>
      </c>
      <c r="E11" s="508">
        <v>0</v>
      </c>
      <c r="F11" s="508">
        <v>0</v>
      </c>
      <c r="G11" s="508">
        <v>0</v>
      </c>
      <c r="H11" s="508">
        <v>1234</v>
      </c>
      <c r="I11" s="509">
        <v>12321.7</v>
      </c>
      <c r="J11" s="509">
        <v>1222</v>
      </c>
      <c r="K11" s="509">
        <v>11862.4</v>
      </c>
      <c r="L11" s="509">
        <v>0</v>
      </c>
      <c r="M11" s="509">
        <v>0</v>
      </c>
      <c r="N11" s="508">
        <v>12</v>
      </c>
      <c r="O11" s="508">
        <v>398.2</v>
      </c>
      <c r="P11" s="508">
        <v>0</v>
      </c>
      <c r="Q11" s="508">
        <v>0</v>
      </c>
      <c r="R11" s="508">
        <v>0</v>
      </c>
      <c r="S11" s="508">
        <v>0</v>
      </c>
      <c r="T11" s="508">
        <v>0</v>
      </c>
      <c r="U11" s="508">
        <v>0</v>
      </c>
      <c r="V11" s="508">
        <v>0</v>
      </c>
      <c r="W11" s="508">
        <v>0</v>
      </c>
      <c r="X11" s="508">
        <v>61.1</v>
      </c>
      <c r="Y11" s="508">
        <v>0</v>
      </c>
      <c r="Z11" s="508">
        <v>61.099999999998545</v>
      </c>
      <c r="AA11" s="508">
        <v>0</v>
      </c>
      <c r="AB11" s="508"/>
      <c r="AC11" s="508"/>
    </row>
    <row r="12" spans="1:29" ht="12.75">
      <c r="A12" s="465">
        <v>38777</v>
      </c>
      <c r="B12" s="508">
        <v>1237</v>
      </c>
      <c r="C12" s="508">
        <v>4361.4</v>
      </c>
      <c r="D12" s="508">
        <v>0</v>
      </c>
      <c r="E12" s="508">
        <v>0</v>
      </c>
      <c r="F12" s="508">
        <v>0</v>
      </c>
      <c r="G12" s="508">
        <v>0</v>
      </c>
      <c r="H12" s="508">
        <v>1237</v>
      </c>
      <c r="I12" s="509">
        <v>4361.4</v>
      </c>
      <c r="J12" s="509">
        <v>1225</v>
      </c>
      <c r="K12" s="509">
        <v>4105.3</v>
      </c>
      <c r="L12" s="509">
        <v>0</v>
      </c>
      <c r="M12" s="509">
        <v>0</v>
      </c>
      <c r="N12" s="508">
        <v>12</v>
      </c>
      <c r="O12" s="508">
        <v>242.3</v>
      </c>
      <c r="P12" s="508">
        <v>0</v>
      </c>
      <c r="Q12" s="508">
        <v>0</v>
      </c>
      <c r="R12" s="508">
        <v>0</v>
      </c>
      <c r="S12" s="508">
        <v>0</v>
      </c>
      <c r="T12" s="508">
        <v>0</v>
      </c>
      <c r="U12" s="508">
        <v>0</v>
      </c>
      <c r="V12" s="508">
        <v>0</v>
      </c>
      <c r="W12" s="508">
        <v>0</v>
      </c>
      <c r="X12" s="508">
        <v>13.8</v>
      </c>
      <c r="Y12" s="508">
        <v>0</v>
      </c>
      <c r="Z12" s="508">
        <v>13.800000000000182</v>
      </c>
      <c r="AA12" s="508">
        <v>0</v>
      </c>
      <c r="AB12" s="508"/>
      <c r="AC12" s="508"/>
    </row>
    <row r="13" spans="1:29" ht="12.75">
      <c r="A13" s="465">
        <v>38808</v>
      </c>
      <c r="B13" s="508">
        <v>1265</v>
      </c>
      <c r="C13" s="508">
        <v>4452.2</v>
      </c>
      <c r="D13" s="508">
        <v>0</v>
      </c>
      <c r="E13" s="508">
        <v>0</v>
      </c>
      <c r="F13" s="508">
        <v>0</v>
      </c>
      <c r="G13" s="508">
        <v>0</v>
      </c>
      <c r="H13" s="508">
        <v>1265</v>
      </c>
      <c r="I13" s="509">
        <v>4452.2</v>
      </c>
      <c r="J13" s="509">
        <v>1253</v>
      </c>
      <c r="K13" s="509">
        <v>4121.9</v>
      </c>
      <c r="L13" s="509">
        <v>0</v>
      </c>
      <c r="M13" s="509">
        <v>0</v>
      </c>
      <c r="N13" s="508">
        <v>12</v>
      </c>
      <c r="O13" s="508">
        <v>300.4</v>
      </c>
      <c r="P13" s="508">
        <v>0</v>
      </c>
      <c r="Q13" s="508">
        <v>0</v>
      </c>
      <c r="R13" s="508">
        <v>0</v>
      </c>
      <c r="S13" s="508">
        <v>0</v>
      </c>
      <c r="T13" s="508">
        <v>0</v>
      </c>
      <c r="U13" s="508">
        <v>0</v>
      </c>
      <c r="V13" s="508">
        <v>0</v>
      </c>
      <c r="W13" s="508">
        <v>0</v>
      </c>
      <c r="X13" s="508">
        <v>29.9</v>
      </c>
      <c r="Y13" s="508">
        <v>0</v>
      </c>
      <c r="Z13" s="508">
        <v>29.900000000000546</v>
      </c>
      <c r="AA13" s="508">
        <v>0</v>
      </c>
      <c r="AB13" s="508"/>
      <c r="AC13" s="508"/>
    </row>
    <row r="14" spans="1:29" ht="12.75">
      <c r="A14" s="465">
        <v>38838</v>
      </c>
      <c r="B14" s="508">
        <v>1273</v>
      </c>
      <c r="C14" s="508">
        <v>2727.9</v>
      </c>
      <c r="D14" s="508">
        <v>0</v>
      </c>
      <c r="E14" s="508">
        <v>0</v>
      </c>
      <c r="F14" s="508">
        <v>0</v>
      </c>
      <c r="G14" s="508">
        <v>0</v>
      </c>
      <c r="H14" s="508">
        <v>1273</v>
      </c>
      <c r="I14" s="509">
        <v>2727.9</v>
      </c>
      <c r="J14" s="509">
        <v>1261</v>
      </c>
      <c r="K14" s="509">
        <v>2454.7</v>
      </c>
      <c r="L14" s="509">
        <v>0</v>
      </c>
      <c r="M14" s="509">
        <v>0</v>
      </c>
      <c r="N14" s="508">
        <v>12</v>
      </c>
      <c r="O14" s="508">
        <v>258.5</v>
      </c>
      <c r="P14" s="508">
        <v>0</v>
      </c>
      <c r="Q14" s="508">
        <v>0</v>
      </c>
      <c r="R14" s="508">
        <v>0</v>
      </c>
      <c r="S14" s="508">
        <v>0</v>
      </c>
      <c r="T14" s="508">
        <v>0</v>
      </c>
      <c r="U14" s="508">
        <v>0</v>
      </c>
      <c r="V14" s="508">
        <v>0</v>
      </c>
      <c r="W14" s="508">
        <v>0</v>
      </c>
      <c r="X14" s="508">
        <v>14.7</v>
      </c>
      <c r="Y14" s="508">
        <v>0</v>
      </c>
      <c r="Z14" s="508">
        <v>14.700000000000273</v>
      </c>
      <c r="AA14" s="508">
        <v>0</v>
      </c>
      <c r="AB14" s="508"/>
      <c r="AC14" s="508"/>
    </row>
    <row r="15" spans="1:29" ht="12.75">
      <c r="A15" s="465">
        <v>38869</v>
      </c>
      <c r="B15" s="508">
        <v>1285</v>
      </c>
      <c r="C15" s="508">
        <v>3092.5</v>
      </c>
      <c r="D15" s="508">
        <v>0</v>
      </c>
      <c r="E15" s="508">
        <v>0</v>
      </c>
      <c r="F15" s="508">
        <v>390</v>
      </c>
      <c r="G15" s="508">
        <v>2451.6</v>
      </c>
      <c r="H15" s="508">
        <v>1675</v>
      </c>
      <c r="I15" s="509">
        <v>5544.1</v>
      </c>
      <c r="J15" s="509">
        <v>1273</v>
      </c>
      <c r="K15" s="509">
        <v>2755.9</v>
      </c>
      <c r="L15" s="509">
        <v>0</v>
      </c>
      <c r="M15" s="509">
        <v>0</v>
      </c>
      <c r="N15" s="508">
        <v>12</v>
      </c>
      <c r="O15" s="508">
        <v>308.8</v>
      </c>
      <c r="P15" s="508">
        <v>9</v>
      </c>
      <c r="Q15" s="508">
        <v>835.8</v>
      </c>
      <c r="R15" s="508">
        <v>49</v>
      </c>
      <c r="S15" s="508">
        <v>1181.3</v>
      </c>
      <c r="T15" s="508">
        <v>206</v>
      </c>
      <c r="U15" s="508">
        <v>186.9</v>
      </c>
      <c r="V15" s="508">
        <v>160</v>
      </c>
      <c r="W15" s="508">
        <v>244.9</v>
      </c>
      <c r="X15" s="508">
        <v>30.5</v>
      </c>
      <c r="Y15" s="508">
        <v>0</v>
      </c>
      <c r="Z15" s="508">
        <v>27.799999999999727</v>
      </c>
      <c r="AA15" s="508">
        <v>2.699999999999818</v>
      </c>
      <c r="AB15" s="508"/>
      <c r="AC15" s="508"/>
    </row>
    <row r="16" spans="1:29" ht="12.75">
      <c r="A16" s="465">
        <v>38899</v>
      </c>
      <c r="B16" s="508">
        <v>1288</v>
      </c>
      <c r="C16" s="508">
        <v>2268.2</v>
      </c>
      <c r="D16" s="508">
        <v>0</v>
      </c>
      <c r="E16" s="508">
        <v>0</v>
      </c>
      <c r="F16" s="508">
        <v>393</v>
      </c>
      <c r="G16" s="508">
        <v>1635.5</v>
      </c>
      <c r="H16" s="508">
        <v>1681</v>
      </c>
      <c r="I16" s="509">
        <v>3903.7</v>
      </c>
      <c r="J16" s="509">
        <v>1276</v>
      </c>
      <c r="K16" s="509">
        <v>2139.4</v>
      </c>
      <c r="L16" s="509">
        <v>0</v>
      </c>
      <c r="M16" s="509">
        <v>0</v>
      </c>
      <c r="N16" s="508">
        <v>12</v>
      </c>
      <c r="O16" s="508">
        <v>116.3</v>
      </c>
      <c r="P16" s="508">
        <v>9</v>
      </c>
      <c r="Q16" s="508">
        <v>593.5</v>
      </c>
      <c r="R16" s="508">
        <v>43</v>
      </c>
      <c r="S16" s="508">
        <v>845.5</v>
      </c>
      <c r="T16" s="508">
        <v>198</v>
      </c>
      <c r="U16" s="508">
        <v>80.8</v>
      </c>
      <c r="V16" s="508">
        <v>149</v>
      </c>
      <c r="W16" s="508">
        <v>114.2</v>
      </c>
      <c r="X16" s="508">
        <v>14</v>
      </c>
      <c r="Y16" s="508">
        <v>0</v>
      </c>
      <c r="Z16" s="508">
        <v>12.5</v>
      </c>
      <c r="AA16" s="508">
        <v>1.5</v>
      </c>
      <c r="AB16" s="508"/>
      <c r="AC16" s="508"/>
    </row>
    <row r="17" spans="1:29" ht="12.75">
      <c r="A17" s="465">
        <v>38930</v>
      </c>
      <c r="B17" s="508">
        <v>1294</v>
      </c>
      <c r="C17" s="508">
        <v>2447.4</v>
      </c>
      <c r="D17" s="508">
        <v>61</v>
      </c>
      <c r="E17" s="508">
        <v>102.1</v>
      </c>
      <c r="F17" s="508">
        <v>388</v>
      </c>
      <c r="G17" s="508">
        <v>1905.4</v>
      </c>
      <c r="H17" s="508">
        <v>1743</v>
      </c>
      <c r="I17" s="509">
        <v>4454.9</v>
      </c>
      <c r="J17" s="509">
        <v>1282</v>
      </c>
      <c r="K17" s="509">
        <v>2315.3</v>
      </c>
      <c r="L17" s="509">
        <v>61</v>
      </c>
      <c r="M17" s="509">
        <v>102.1</v>
      </c>
      <c r="N17" s="508">
        <v>12</v>
      </c>
      <c r="O17" s="508">
        <v>124.8</v>
      </c>
      <c r="P17" s="508">
        <v>8</v>
      </c>
      <c r="Q17" s="508">
        <v>863.1</v>
      </c>
      <c r="R17" s="508">
        <v>42</v>
      </c>
      <c r="S17" s="508">
        <v>835</v>
      </c>
      <c r="T17" s="508">
        <v>196</v>
      </c>
      <c r="U17" s="508">
        <v>86.2</v>
      </c>
      <c r="V17" s="508">
        <v>146</v>
      </c>
      <c r="W17" s="508">
        <v>119.3</v>
      </c>
      <c r="X17" s="508">
        <v>9.1</v>
      </c>
      <c r="Y17" s="508">
        <v>0</v>
      </c>
      <c r="Z17" s="508">
        <v>7.299999999999727</v>
      </c>
      <c r="AA17" s="508">
        <v>1.800000000000182</v>
      </c>
      <c r="AB17" s="508"/>
      <c r="AC17" s="508"/>
    </row>
    <row r="18" spans="1:29" ht="12.75">
      <c r="A18" s="465">
        <v>38961</v>
      </c>
      <c r="B18" s="508">
        <v>1334</v>
      </c>
      <c r="C18" s="508">
        <v>4172.9</v>
      </c>
      <c r="D18" s="508">
        <v>61</v>
      </c>
      <c r="E18" s="508">
        <v>167.4</v>
      </c>
      <c r="F18" s="508">
        <v>414</v>
      </c>
      <c r="G18" s="508">
        <v>3542.6</v>
      </c>
      <c r="H18" s="508">
        <v>1809</v>
      </c>
      <c r="I18" s="509">
        <v>7882.9</v>
      </c>
      <c r="J18" s="509">
        <v>1322</v>
      </c>
      <c r="K18" s="509">
        <v>3955.3</v>
      </c>
      <c r="L18" s="509">
        <v>61</v>
      </c>
      <c r="M18" s="509">
        <v>164.2</v>
      </c>
      <c r="N18" s="508">
        <v>12</v>
      </c>
      <c r="O18" s="508">
        <v>192.7</v>
      </c>
      <c r="P18" s="508">
        <v>7</v>
      </c>
      <c r="Q18" s="508">
        <v>1347.3</v>
      </c>
      <c r="R18" s="508">
        <v>44</v>
      </c>
      <c r="S18" s="508">
        <v>1683.2</v>
      </c>
      <c r="T18" s="508">
        <v>217</v>
      </c>
      <c r="U18" s="508">
        <v>189.8</v>
      </c>
      <c r="V18" s="508">
        <v>144</v>
      </c>
      <c r="W18" s="508">
        <v>309.4</v>
      </c>
      <c r="X18" s="508">
        <v>41</v>
      </c>
      <c r="Y18" s="508">
        <v>3.200000000000017</v>
      </c>
      <c r="Z18" s="508">
        <v>24.900000000000546</v>
      </c>
      <c r="AA18" s="508">
        <v>12.899999999999636</v>
      </c>
      <c r="AB18" s="508"/>
      <c r="AC18" s="508"/>
    </row>
    <row r="19" spans="1:29" ht="12.75">
      <c r="A19" s="465">
        <v>38991</v>
      </c>
      <c r="B19" s="508">
        <v>1335</v>
      </c>
      <c r="C19" s="508">
        <v>2417.9</v>
      </c>
      <c r="D19" s="508">
        <v>61</v>
      </c>
      <c r="E19" s="508">
        <v>122.5</v>
      </c>
      <c r="F19" s="508">
        <v>415</v>
      </c>
      <c r="G19" s="508">
        <v>1676.2</v>
      </c>
      <c r="H19" s="508">
        <v>1811</v>
      </c>
      <c r="I19" s="509">
        <v>4216.6</v>
      </c>
      <c r="J19" s="509">
        <v>1323</v>
      </c>
      <c r="K19" s="509">
        <v>2306.2</v>
      </c>
      <c r="L19" s="509">
        <v>61</v>
      </c>
      <c r="M19" s="509">
        <v>122.5</v>
      </c>
      <c r="N19" s="508">
        <v>12</v>
      </c>
      <c r="O19" s="508">
        <v>93.3</v>
      </c>
      <c r="P19" s="508">
        <v>6</v>
      </c>
      <c r="Q19" s="508">
        <v>562.4</v>
      </c>
      <c r="R19" s="508">
        <v>43</v>
      </c>
      <c r="S19" s="508">
        <v>813.3</v>
      </c>
      <c r="T19" s="508">
        <v>233</v>
      </c>
      <c r="U19" s="508">
        <v>134.4</v>
      </c>
      <c r="V19" s="508">
        <v>141</v>
      </c>
      <c r="W19" s="508">
        <v>152.9</v>
      </c>
      <c r="X19" s="508">
        <v>31.6</v>
      </c>
      <c r="Y19" s="508">
        <v>0</v>
      </c>
      <c r="Z19" s="508">
        <v>18.40000000000009</v>
      </c>
      <c r="AA19" s="508">
        <v>13.2</v>
      </c>
      <c r="AB19" s="508"/>
      <c r="AC19" s="508"/>
    </row>
    <row r="20" spans="1:29" ht="12.75">
      <c r="A20" s="465">
        <v>39022</v>
      </c>
      <c r="B20" s="508">
        <v>1353</v>
      </c>
      <c r="C20" s="508">
        <v>8591.9</v>
      </c>
      <c r="D20" s="508">
        <v>60</v>
      </c>
      <c r="E20" s="508">
        <v>585</v>
      </c>
      <c r="F20" s="508">
        <v>422</v>
      </c>
      <c r="G20" s="508">
        <v>2532.9</v>
      </c>
      <c r="H20" s="508">
        <v>1835</v>
      </c>
      <c r="I20" s="509">
        <v>11709.8</v>
      </c>
      <c r="J20" s="509">
        <v>1341</v>
      </c>
      <c r="K20" s="509">
        <v>8293.6</v>
      </c>
      <c r="L20" s="509">
        <v>60</v>
      </c>
      <c r="M20" s="509">
        <v>585</v>
      </c>
      <c r="N20" s="508">
        <v>12</v>
      </c>
      <c r="O20" s="508">
        <v>213.2</v>
      </c>
      <c r="P20" s="508">
        <v>6</v>
      </c>
      <c r="Q20" s="508">
        <v>601.8</v>
      </c>
      <c r="R20" s="508">
        <v>43</v>
      </c>
      <c r="S20" s="508">
        <v>1048.9</v>
      </c>
      <c r="T20" s="508">
        <v>229</v>
      </c>
      <c r="U20" s="508">
        <v>437.8</v>
      </c>
      <c r="V20" s="508">
        <v>141</v>
      </c>
      <c r="W20" s="508">
        <v>393.4</v>
      </c>
      <c r="X20" s="508">
        <v>136.1</v>
      </c>
      <c r="Y20" s="508">
        <v>0</v>
      </c>
      <c r="Z20" s="508">
        <v>85.09999999999854</v>
      </c>
      <c r="AA20" s="508">
        <v>51</v>
      </c>
      <c r="AB20" s="508"/>
      <c r="AC20" s="508"/>
    </row>
    <row r="21" spans="1:29" ht="12.75">
      <c r="A21" s="465">
        <v>39052</v>
      </c>
      <c r="B21" s="508">
        <v>1382</v>
      </c>
      <c r="C21" s="508">
        <v>13260.3</v>
      </c>
      <c r="D21" s="508">
        <v>60</v>
      </c>
      <c r="E21" s="508">
        <v>688.1</v>
      </c>
      <c r="F21" s="508">
        <v>419</v>
      </c>
      <c r="G21" s="508">
        <v>4409.1</v>
      </c>
      <c r="H21" s="508">
        <v>1861</v>
      </c>
      <c r="I21" s="509">
        <v>18357.5</v>
      </c>
      <c r="J21" s="509">
        <v>1370</v>
      </c>
      <c r="K21" s="509">
        <v>12972.1</v>
      </c>
      <c r="L21" s="509">
        <v>60</v>
      </c>
      <c r="M21" s="509">
        <v>683.9</v>
      </c>
      <c r="N21" s="508">
        <v>12</v>
      </c>
      <c r="O21" s="508">
        <v>215.3</v>
      </c>
      <c r="P21" s="508">
        <v>6</v>
      </c>
      <c r="Q21" s="508">
        <v>919.4</v>
      </c>
      <c r="R21" s="508">
        <v>43</v>
      </c>
      <c r="S21" s="508">
        <v>1613</v>
      </c>
      <c r="T21" s="508">
        <v>231</v>
      </c>
      <c r="U21" s="508">
        <v>886.6</v>
      </c>
      <c r="V21" s="508">
        <v>140</v>
      </c>
      <c r="W21" s="508">
        <v>951.9</v>
      </c>
      <c r="X21" s="508">
        <v>115.3</v>
      </c>
      <c r="Y21" s="508">
        <v>4.2000000000000455</v>
      </c>
      <c r="Z21" s="508">
        <v>72.90000000000146</v>
      </c>
      <c r="AA21" s="508">
        <v>38.20000000000073</v>
      </c>
      <c r="AB21" s="508"/>
      <c r="AC21" s="508"/>
    </row>
    <row r="22" spans="2:31" ht="6" customHeight="1">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E22">
        <f>544*4</f>
        <v>2176</v>
      </c>
    </row>
    <row r="23" spans="1:29" ht="12.75">
      <c r="A23" s="162">
        <f>K23+M23+O23+Q23+S23+U23+W23+Y23+Z23+AA23</f>
        <v>89059.79999999999</v>
      </c>
      <c r="B23" s="508">
        <f aca="true" t="shared" si="0" ref="B23:H23">SUM(B10:B21)</f>
        <v>15500</v>
      </c>
      <c r="C23" s="508">
        <f t="shared" si="0"/>
        <v>69241.40000000001</v>
      </c>
      <c r="D23" s="508">
        <f t="shared" si="0"/>
        <v>303</v>
      </c>
      <c r="E23" s="508">
        <f t="shared" si="0"/>
        <v>1665.1</v>
      </c>
      <c r="F23" s="508">
        <f t="shared" si="0"/>
        <v>2841</v>
      </c>
      <c r="G23" s="508">
        <f t="shared" si="0"/>
        <v>18153.300000000003</v>
      </c>
      <c r="H23" s="508">
        <f t="shared" si="0"/>
        <v>18644</v>
      </c>
      <c r="I23" s="508">
        <f aca="true" t="shared" si="1" ref="I23:AA23">SUM(I10:I21)</f>
        <v>89059.8</v>
      </c>
      <c r="J23" s="510">
        <f t="shared" si="1"/>
        <v>15356</v>
      </c>
      <c r="K23" s="510">
        <f t="shared" si="1"/>
        <v>65995.1</v>
      </c>
      <c r="L23" s="510">
        <f t="shared" si="1"/>
        <v>303</v>
      </c>
      <c r="M23" s="510">
        <f t="shared" si="1"/>
        <v>1657.6999999999998</v>
      </c>
      <c r="N23" s="510">
        <f t="shared" si="1"/>
        <v>144</v>
      </c>
      <c r="O23" s="510">
        <f t="shared" si="1"/>
        <v>2830.4</v>
      </c>
      <c r="P23" s="510">
        <f t="shared" si="1"/>
        <v>51</v>
      </c>
      <c r="Q23" s="510">
        <f t="shared" si="1"/>
        <v>5723.299999999999</v>
      </c>
      <c r="R23" s="510">
        <f t="shared" si="1"/>
        <v>307</v>
      </c>
      <c r="S23" s="510">
        <f t="shared" si="1"/>
        <v>8020.200000000001</v>
      </c>
      <c r="T23" s="510">
        <f t="shared" si="1"/>
        <v>1510</v>
      </c>
      <c r="U23" s="510">
        <f t="shared" si="1"/>
        <v>2002.5</v>
      </c>
      <c r="V23" s="508">
        <f t="shared" si="1"/>
        <v>1021</v>
      </c>
      <c r="W23" s="508">
        <f t="shared" si="1"/>
        <v>2286</v>
      </c>
      <c r="X23" s="508">
        <f t="shared" si="1"/>
        <v>544.5999999999999</v>
      </c>
      <c r="Y23" s="508">
        <f t="shared" si="1"/>
        <v>7.4000000000000625</v>
      </c>
      <c r="Z23" s="508">
        <f t="shared" si="1"/>
        <v>415.89999999999964</v>
      </c>
      <c r="AA23" s="508">
        <f t="shared" si="1"/>
        <v>121.30000000000037</v>
      </c>
      <c r="AB23" s="508"/>
      <c r="AC23" s="508"/>
    </row>
    <row r="24" spans="1:29" ht="5.25" customHeight="1">
      <c r="A24" s="162"/>
      <c r="B24" s="508"/>
      <c r="C24" s="508"/>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row>
    <row r="25" spans="1:29" s="469" customFormat="1" ht="12.75">
      <c r="A25" s="469" t="s">
        <v>127</v>
      </c>
      <c r="B25" s="508"/>
      <c r="C25" s="508"/>
      <c r="D25" s="508"/>
      <c r="E25" s="508"/>
      <c r="F25" s="508"/>
      <c r="G25" s="508"/>
      <c r="H25" s="508"/>
      <c r="I25" s="508">
        <f>K25+M25+O25+Q25+S25+U25+W25</f>
        <v>1459824.84</v>
      </c>
      <c r="J25" s="508"/>
      <c r="K25" s="508">
        <v>1127084.51</v>
      </c>
      <c r="L25" s="508"/>
      <c r="M25" s="508">
        <v>23417.92</v>
      </c>
      <c r="N25" s="508"/>
      <c r="O25" s="508">
        <v>34925.06</v>
      </c>
      <c r="P25" s="508"/>
      <c r="Q25" s="508">
        <v>73702.95</v>
      </c>
      <c r="R25" s="508"/>
      <c r="S25" s="508">
        <v>107308.59</v>
      </c>
      <c r="T25" s="508"/>
      <c r="U25" s="508">
        <v>48369.44</v>
      </c>
      <c r="V25" s="508"/>
      <c r="W25" s="508">
        <v>45016.37</v>
      </c>
      <c r="X25" s="508"/>
      <c r="Y25" s="508"/>
      <c r="Z25" s="508"/>
      <c r="AA25" s="508"/>
      <c r="AB25" s="508"/>
      <c r="AC25" s="508"/>
    </row>
    <row r="26" spans="1:29" ht="12.75">
      <c r="A26" s="162" t="s">
        <v>128</v>
      </c>
      <c r="B26" s="508"/>
      <c r="C26" s="508"/>
      <c r="D26" s="508"/>
      <c r="E26" s="508"/>
      <c r="F26" s="508"/>
      <c r="G26" s="508"/>
      <c r="H26" s="508"/>
      <c r="I26" s="508"/>
      <c r="J26" s="508"/>
      <c r="K26" s="508">
        <v>3.8</v>
      </c>
      <c r="L26" s="508"/>
      <c r="M26" s="508">
        <v>2.51</v>
      </c>
      <c r="N26" s="508"/>
      <c r="O26" s="508">
        <v>3.8</v>
      </c>
      <c r="P26" s="508"/>
      <c r="Q26" s="508">
        <v>5.75</v>
      </c>
      <c r="R26" s="508"/>
      <c r="S26" s="508">
        <v>5.75</v>
      </c>
      <c r="T26" s="508"/>
      <c r="U26" s="508">
        <v>5.75</v>
      </c>
      <c r="V26" s="508"/>
      <c r="W26" s="508">
        <v>5.75</v>
      </c>
      <c r="X26" s="508"/>
      <c r="Y26" s="508"/>
      <c r="Z26" s="508"/>
      <c r="AA26" s="508"/>
      <c r="AB26" s="508"/>
      <c r="AC26" s="508"/>
    </row>
    <row r="27" spans="1:29" ht="12.75">
      <c r="A27" s="162" t="s">
        <v>129</v>
      </c>
      <c r="B27" s="508"/>
      <c r="C27" s="508"/>
      <c r="D27" s="508"/>
      <c r="E27" s="508"/>
      <c r="F27" s="508"/>
      <c r="G27" s="508"/>
      <c r="H27" s="508"/>
      <c r="I27" s="508">
        <f>K27+M27+O27+Q27+S27+U27+W27</f>
        <v>231680.5</v>
      </c>
      <c r="J27" s="508"/>
      <c r="K27" s="508">
        <f>J23*12.5</f>
        <v>191950</v>
      </c>
      <c r="L27" s="508"/>
      <c r="M27" s="508">
        <f>L23*6</f>
        <v>1818</v>
      </c>
      <c r="N27" s="508"/>
      <c r="O27" s="508">
        <f>N23*12.5</f>
        <v>1800</v>
      </c>
      <c r="P27" s="508"/>
      <c r="Q27" s="508">
        <f>P23*12.5</f>
        <v>637.5</v>
      </c>
      <c r="R27" s="508"/>
      <c r="S27" s="508">
        <f>R23*12.5</f>
        <v>3837.5</v>
      </c>
      <c r="T27" s="508"/>
      <c r="U27" s="508">
        <f>T23*12.5</f>
        <v>18875</v>
      </c>
      <c r="V27" s="508"/>
      <c r="W27" s="508">
        <f>V23*12.5</f>
        <v>12762.5</v>
      </c>
      <c r="X27" s="508"/>
      <c r="Y27" s="508"/>
      <c r="Z27" s="508"/>
      <c r="AA27" s="508"/>
      <c r="AB27" s="508"/>
      <c r="AC27" s="508"/>
    </row>
    <row r="28" spans="1:29" ht="12.75">
      <c r="A28" t="s">
        <v>130</v>
      </c>
      <c r="B28" s="508"/>
      <c r="C28" s="508"/>
      <c r="D28" s="508"/>
      <c r="E28" s="508"/>
      <c r="F28" s="508"/>
      <c r="G28" s="508"/>
      <c r="H28" s="508"/>
      <c r="I28" s="508">
        <f>K28+M28+O28+Q28+S28+U28+W28</f>
        <v>369381.727</v>
      </c>
      <c r="J28" s="508"/>
      <c r="K28" s="508">
        <f>K26*K23</f>
        <v>250781.38</v>
      </c>
      <c r="L28" s="508"/>
      <c r="M28" s="508">
        <f>M26*M23</f>
        <v>4160.826999999999</v>
      </c>
      <c r="N28" s="508"/>
      <c r="O28" s="508">
        <f>O26*O23</f>
        <v>10755.52</v>
      </c>
      <c r="P28" s="508"/>
      <c r="Q28" s="508">
        <f>Q26*Q23</f>
        <v>32908.975</v>
      </c>
      <c r="R28" s="508"/>
      <c r="S28" s="508">
        <f>S26*S23</f>
        <v>46116.15</v>
      </c>
      <c r="T28" s="508"/>
      <c r="U28" s="508">
        <f>U26*U23</f>
        <v>11514.375</v>
      </c>
      <c r="V28" s="508"/>
      <c r="W28" s="508">
        <f>W26*W23</f>
        <v>13144.5</v>
      </c>
      <c r="X28" s="508"/>
      <c r="Y28" s="508"/>
      <c r="Z28" s="508"/>
      <c r="AA28" s="508"/>
      <c r="AB28" s="508"/>
      <c r="AC28" s="508"/>
    </row>
    <row r="29" spans="1:29" ht="12.75">
      <c r="A29" s="162"/>
      <c r="B29" s="508"/>
      <c r="C29" s="508"/>
      <c r="D29" s="508"/>
      <c r="E29" s="508"/>
      <c r="F29" s="508"/>
      <c r="G29" s="508"/>
      <c r="H29" s="508"/>
      <c r="I29" s="508">
        <f>I27+I28</f>
        <v>601062.227</v>
      </c>
      <c r="J29" s="508"/>
      <c r="K29" s="508">
        <f>K27+K28</f>
        <v>442731.38</v>
      </c>
      <c r="L29" s="508"/>
      <c r="M29" s="508">
        <f>M27+M28</f>
        <v>5978.826999999999</v>
      </c>
      <c r="N29" s="508"/>
      <c r="O29" s="508">
        <f>O27+O28</f>
        <v>12555.52</v>
      </c>
      <c r="P29" s="508"/>
      <c r="Q29" s="508">
        <f>Q27+Q28</f>
        <v>33546.475</v>
      </c>
      <c r="R29" s="508"/>
      <c r="S29" s="508">
        <f>S27+S28</f>
        <v>49953.65</v>
      </c>
      <c r="T29" s="508"/>
      <c r="U29" s="508">
        <f>U27+U28</f>
        <v>30389.375</v>
      </c>
      <c r="V29" s="508"/>
      <c r="W29" s="508">
        <f>W27+W28</f>
        <v>25907</v>
      </c>
      <c r="X29" s="508"/>
      <c r="Y29" s="508"/>
      <c r="Z29" s="508"/>
      <c r="AA29" s="508"/>
      <c r="AB29" s="508"/>
      <c r="AC29" s="508"/>
    </row>
    <row r="30" spans="1:29" ht="5.25" customHeight="1">
      <c r="A30" s="162"/>
      <c r="B30" s="508"/>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row>
    <row r="31" spans="1:29" ht="12.75">
      <c r="A31" s="471" t="s">
        <v>131</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row>
    <row r="32" spans="2:29" ht="4.5" customHeight="1">
      <c r="B32" s="508"/>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row>
    <row r="33" spans="1:27" ht="12.75">
      <c r="A33" t="s">
        <v>132</v>
      </c>
      <c r="C33" s="162">
        <f>SUM(C17:C21)</f>
        <v>30890.399999999998</v>
      </c>
      <c r="E33" s="162">
        <f>SUM(E17:E21)</f>
        <v>1665.1</v>
      </c>
      <c r="G33" s="162">
        <f>SUM(G17:G21)</f>
        <v>14066.2</v>
      </c>
      <c r="I33" s="162">
        <f>SUM(I17:I21)</f>
        <v>46621.7</v>
      </c>
      <c r="J33" s="162"/>
      <c r="K33" s="162"/>
      <c r="L33" s="162"/>
      <c r="M33" s="162">
        <f>SUM(M17:M21)</f>
        <v>1657.6999999999998</v>
      </c>
      <c r="O33" s="162">
        <f>SUM(O17:O21)</f>
        <v>839.3</v>
      </c>
      <c r="Q33" s="162">
        <f>SUM(Q17:Q21)</f>
        <v>4294</v>
      </c>
      <c r="S33" s="162">
        <f>SUM(S17:S21)</f>
        <v>5993.4</v>
      </c>
      <c r="U33" s="162">
        <f>SUM(U17:U21)</f>
        <v>1734.8000000000002</v>
      </c>
      <c r="W33" s="162">
        <f>SUM(W17:W21)</f>
        <v>1926.9</v>
      </c>
      <c r="X33" s="162">
        <f>SUM(X17:X21)</f>
        <v>333.1</v>
      </c>
      <c r="Y33" s="162">
        <f>SUM(Y17:Y21)</f>
        <v>7.4000000000000625</v>
      </c>
      <c r="Z33" s="162">
        <f>SUM(Z17:Z21)</f>
        <v>208.60000000000036</v>
      </c>
      <c r="AA33" s="162">
        <f>SUM(AA17:AA21)</f>
        <v>117.10000000000055</v>
      </c>
    </row>
    <row r="34" spans="3:27" ht="12.75">
      <c r="C34" s="472">
        <f>C33/$C$33</f>
        <v>1</v>
      </c>
      <c r="E34" s="472">
        <f>E33/$C$33</f>
        <v>0.053903478103229485</v>
      </c>
      <c r="G34" s="472">
        <f>G33/$C$33</f>
        <v>0.45535829901846536</v>
      </c>
      <c r="I34" s="472">
        <f>I33/$C$33</f>
        <v>1.5092617771216947</v>
      </c>
      <c r="J34" s="472"/>
      <c r="K34" s="472"/>
      <c r="L34" s="472"/>
      <c r="M34" s="472">
        <f>M33/$C$33</f>
        <v>0.053663921477222695</v>
      </c>
      <c r="O34" s="472">
        <f>O33/$C$33</f>
        <v>0.027170253541553363</v>
      </c>
      <c r="Q34" s="472">
        <f>Q33/$C$33</f>
        <v>0.13900758811799135</v>
      </c>
      <c r="S34" s="472">
        <f>S33/$C$33</f>
        <v>0.1940214435552793</v>
      </c>
      <c r="U34" s="472">
        <f>U33/$C$33</f>
        <v>0.056159842540077186</v>
      </c>
      <c r="W34" s="472">
        <f>W33/$C$33</f>
        <v>0.06237860306114522</v>
      </c>
      <c r="X34" s="472">
        <f>X33/$C$33</f>
        <v>0.010783285422008133</v>
      </c>
      <c r="Y34" s="472">
        <f>Y33/$C$33</f>
        <v>0.00023955662600678732</v>
      </c>
      <c r="Z34" s="472">
        <f>Z33/$C$33</f>
        <v>0.006752907052029121</v>
      </c>
      <c r="AA34" s="472">
        <f>AA33/$C$33</f>
        <v>0.0037908217439722555</v>
      </c>
    </row>
    <row r="35" spans="17:23" ht="12.75">
      <c r="Q35" s="472">
        <f>Q34/($Q$34+$S$34+$U$34+$W$34)</f>
        <v>0.3078334802962198</v>
      </c>
      <c r="S35" s="472">
        <f>S34/($Q$34+$S$34+$U$34+$W$34)</f>
        <v>0.4296621287394885</v>
      </c>
      <c r="U35" s="472">
        <f>U34/($Q$34+$S$34+$U$34+$W$34)</f>
        <v>0.124366446580783</v>
      </c>
      <c r="W35" s="472">
        <f>W34/($Q$34+$S$34+$U$34+$W$34)</f>
        <v>0.13813794438350863</v>
      </c>
    </row>
    <row r="36" spans="1:27" ht="12.75">
      <c r="A36" s="473" t="s">
        <v>133</v>
      </c>
      <c r="C36" s="162"/>
      <c r="E36" s="162"/>
      <c r="G36" s="162"/>
      <c r="I36" s="162"/>
      <c r="J36" s="162"/>
      <c r="K36" s="162"/>
      <c r="L36" s="162"/>
      <c r="M36" s="162"/>
      <c r="O36" s="162"/>
      <c r="Q36" s="162"/>
      <c r="S36" s="162"/>
      <c r="U36" s="162"/>
      <c r="W36" s="162"/>
      <c r="X36" s="162"/>
      <c r="Y36" s="162"/>
      <c r="Z36" s="162"/>
      <c r="AA36" s="162"/>
    </row>
    <row r="37" spans="9:18" ht="6" customHeight="1">
      <c r="I37" s="162"/>
      <c r="N37" s="162"/>
      <c r="R37" s="162"/>
    </row>
    <row r="38" spans="2:27" ht="12.75">
      <c r="B38" s="458" t="s">
        <v>116</v>
      </c>
      <c r="C38" s="459"/>
      <c r="D38" s="459"/>
      <c r="E38" s="459"/>
      <c r="F38" s="459"/>
      <c r="G38" s="459"/>
      <c r="H38" s="459"/>
      <c r="I38" s="460"/>
      <c r="J38" s="756" t="s">
        <v>428</v>
      </c>
      <c r="K38" s="757"/>
      <c r="L38" s="756" t="s">
        <v>428</v>
      </c>
      <c r="M38" s="757"/>
      <c r="N38" s="458" t="s">
        <v>533</v>
      </c>
      <c r="O38" s="459"/>
      <c r="P38" s="459"/>
      <c r="Q38" s="459"/>
      <c r="R38" s="459"/>
      <c r="S38" s="460"/>
      <c r="T38" s="458" t="s">
        <v>117</v>
      </c>
      <c r="U38" s="459"/>
      <c r="V38" s="459"/>
      <c r="W38" s="460"/>
      <c r="X38" s="458" t="s">
        <v>118</v>
      </c>
      <c r="Y38" s="459"/>
      <c r="Z38" s="459"/>
      <c r="AA38" s="460"/>
    </row>
    <row r="39" spans="2:27" ht="12.75">
      <c r="B39" s="458" t="s">
        <v>119</v>
      </c>
      <c r="C39" s="460"/>
      <c r="D39" s="458" t="s">
        <v>120</v>
      </c>
      <c r="E39" s="460"/>
      <c r="F39" s="756" t="s">
        <v>121</v>
      </c>
      <c r="G39" s="758"/>
      <c r="H39" s="756" t="s">
        <v>122</v>
      </c>
      <c r="I39" s="758"/>
      <c r="J39" s="756" t="s">
        <v>119</v>
      </c>
      <c r="K39" s="758"/>
      <c r="L39" s="756" t="s">
        <v>120</v>
      </c>
      <c r="M39" s="758"/>
      <c r="N39" s="458" t="s">
        <v>119</v>
      </c>
      <c r="O39" s="460"/>
      <c r="P39" s="458" t="s">
        <v>123</v>
      </c>
      <c r="Q39" s="460"/>
      <c r="R39" s="458" t="s">
        <v>124</v>
      </c>
      <c r="S39" s="460"/>
      <c r="T39" s="458" t="s">
        <v>123</v>
      </c>
      <c r="U39" s="460"/>
      <c r="V39" s="458" t="s">
        <v>124</v>
      </c>
      <c r="W39" s="460"/>
      <c r="X39" s="464" t="s">
        <v>490</v>
      </c>
      <c r="Y39" s="474" t="s">
        <v>120</v>
      </c>
      <c r="Z39" s="474" t="s">
        <v>119</v>
      </c>
      <c r="AA39" s="474" t="s">
        <v>121</v>
      </c>
    </row>
    <row r="40" spans="2:27" ht="12.75">
      <c r="B40" s="464" t="s">
        <v>125</v>
      </c>
      <c r="C40" s="464" t="s">
        <v>126</v>
      </c>
      <c r="D40" s="464" t="s">
        <v>125</v>
      </c>
      <c r="E40" s="464" t="s">
        <v>126</v>
      </c>
      <c r="F40" s="464" t="s">
        <v>125</v>
      </c>
      <c r="G40" s="464" t="s">
        <v>126</v>
      </c>
      <c r="H40" s="464" t="s">
        <v>125</v>
      </c>
      <c r="I40" s="464" t="s">
        <v>126</v>
      </c>
      <c r="J40" s="464" t="s">
        <v>125</v>
      </c>
      <c r="K40" s="464" t="s">
        <v>126</v>
      </c>
      <c r="L40" s="464" t="s">
        <v>125</v>
      </c>
      <c r="M40" s="464" t="s">
        <v>126</v>
      </c>
      <c r="N40" s="464" t="s">
        <v>125</v>
      </c>
      <c r="O40" s="464" t="s">
        <v>126</v>
      </c>
      <c r="P40" s="464" t="s">
        <v>125</v>
      </c>
      <c r="Q40" s="464" t="s">
        <v>126</v>
      </c>
      <c r="R40" s="464" t="s">
        <v>125</v>
      </c>
      <c r="S40" s="464" t="s">
        <v>126</v>
      </c>
      <c r="T40" s="464" t="s">
        <v>125</v>
      </c>
      <c r="U40" s="464" t="s">
        <v>126</v>
      </c>
      <c r="V40" s="464" t="s">
        <v>125</v>
      </c>
      <c r="W40" s="464" t="s">
        <v>126</v>
      </c>
      <c r="X40" s="464" t="s">
        <v>126</v>
      </c>
      <c r="Y40" s="464" t="s">
        <v>126</v>
      </c>
      <c r="Z40" s="464" t="s">
        <v>126</v>
      </c>
      <c r="AA40" s="464" t="s">
        <v>126</v>
      </c>
    </row>
    <row r="41" spans="1:27" ht="12.75">
      <c r="A41" s="465">
        <v>38718</v>
      </c>
      <c r="B41" s="466">
        <f aca="true" t="shared" si="2" ref="B41:B52">J41+N41</f>
        <v>1220</v>
      </c>
      <c r="C41" s="162">
        <f aca="true" t="shared" si="3" ref="C41:C52">K41+O41</f>
        <v>9127.347203383331</v>
      </c>
      <c r="D41" s="466">
        <v>61</v>
      </c>
      <c r="E41" s="162">
        <f aca="true" t="shared" si="4" ref="E41:E52">M41</f>
        <v>491.9824349959858</v>
      </c>
      <c r="F41" s="466">
        <f aca="true" t="shared" si="5" ref="F41:G45">P41+R41+T41+V41</f>
        <v>406</v>
      </c>
      <c r="G41" s="162">
        <f t="shared" si="5"/>
        <v>4156.100730971435</v>
      </c>
      <c r="H41" s="466">
        <f aca="true" t="shared" si="6" ref="H41:H52">B41+D41+F41</f>
        <v>1687</v>
      </c>
      <c r="I41" s="162">
        <f aca="true" t="shared" si="7" ref="I41:I52">C41+E41+G41</f>
        <v>13775.430369350752</v>
      </c>
      <c r="J41" s="466">
        <v>1208</v>
      </c>
      <c r="K41" s="162">
        <f aca="true" t="shared" si="8" ref="K41:K52">K10+(1-(O10/C10))*Z41</f>
        <v>8758.59211030886</v>
      </c>
      <c r="L41" s="468">
        <v>61</v>
      </c>
      <c r="M41" s="162">
        <f aca="true" t="shared" si="9" ref="M41:M47">M$34*$C10+Y41</f>
        <v>491.9824349959858</v>
      </c>
      <c r="N41">
        <v>12</v>
      </c>
      <c r="O41" s="162">
        <f aca="true" t="shared" si="10" ref="O41:O52">O10+(1-(K10/C10))*Z41</f>
        <v>368.75509307447055</v>
      </c>
      <c r="P41">
        <v>9</v>
      </c>
      <c r="Q41" s="468">
        <f>Q$34*$C10+Q$35*$AA41</f>
        <v>1279.3869524765998</v>
      </c>
      <c r="R41">
        <v>49</v>
      </c>
      <c r="S41" s="468">
        <f>S$34*$C10+S$35*$AA41</f>
        <v>1785.7190873249313</v>
      </c>
      <c r="T41">
        <v>188</v>
      </c>
      <c r="U41" s="468">
        <f>U$34*$C10+U$35*$AA41</f>
        <v>516.8794795427121</v>
      </c>
      <c r="V41">
        <v>160</v>
      </c>
      <c r="W41" s="468">
        <f>W$34*$C10+W$35*$AA41</f>
        <v>574.1152116271917</v>
      </c>
      <c r="X41" s="162">
        <f aca="true" t="shared" si="11" ref="X41:X52">Y41+Z41+AA41</f>
        <v>84.28566642063572</v>
      </c>
      <c r="Y41" s="468">
        <f aca="true" t="shared" si="12" ref="Y41:Y47">Y$34*$C10</f>
        <v>2.1864572812265486</v>
      </c>
      <c r="Z41">
        <v>47.5</v>
      </c>
      <c r="AA41" s="468">
        <f>AA$34*$C10</f>
        <v>34.599209139409176</v>
      </c>
    </row>
    <row r="42" spans="1:27" ht="12.75">
      <c r="A42" s="465">
        <v>38749</v>
      </c>
      <c r="B42" s="467">
        <f t="shared" si="2"/>
        <v>1234</v>
      </c>
      <c r="C42" s="468">
        <f t="shared" si="3"/>
        <v>12322.00297848511</v>
      </c>
      <c r="D42" s="466">
        <v>61</v>
      </c>
      <c r="E42" s="162">
        <f t="shared" si="4"/>
        <v>664.1824861445627</v>
      </c>
      <c r="F42" s="466">
        <f t="shared" si="5"/>
        <v>406</v>
      </c>
      <c r="G42" s="162">
        <f t="shared" si="5"/>
        <v>5610.788353015824</v>
      </c>
      <c r="H42" s="467">
        <f t="shared" si="6"/>
        <v>1701</v>
      </c>
      <c r="I42" s="468">
        <f t="shared" si="7"/>
        <v>18596.973817645496</v>
      </c>
      <c r="J42" s="467">
        <v>1222</v>
      </c>
      <c r="K42" s="468">
        <f t="shared" si="8"/>
        <v>11921.525433178862</v>
      </c>
      <c r="L42" s="468">
        <v>61</v>
      </c>
      <c r="M42" s="468">
        <f t="shared" si="9"/>
        <v>664.1824861445627</v>
      </c>
      <c r="N42">
        <v>12</v>
      </c>
      <c r="O42" s="468">
        <f t="shared" si="10"/>
        <v>400.47754530624826</v>
      </c>
      <c r="P42">
        <v>9</v>
      </c>
      <c r="Q42" s="468">
        <f>Q$34*$C11+Q$35*$AA42</f>
        <v>1727.1885059143565</v>
      </c>
      <c r="R42">
        <v>49</v>
      </c>
      <c r="S42" s="468">
        <f>S$34*$C11+S$35*$AA42</f>
        <v>2410.743267663508</v>
      </c>
      <c r="T42">
        <v>188</v>
      </c>
      <c r="U42" s="468">
        <f>U$34*$C11+U$35*$AA42</f>
        <v>697.7938099814221</v>
      </c>
      <c r="V42">
        <v>160</v>
      </c>
      <c r="W42" s="468">
        <f>W$34*$C11+W$35*$AA42</f>
        <v>775.0627694565379</v>
      </c>
      <c r="X42" s="162">
        <f t="shared" si="11"/>
        <v>110.76111316136931</v>
      </c>
      <c r="Y42" s="468">
        <f t="shared" si="12"/>
        <v>2.9517448786678315</v>
      </c>
      <c r="Z42">
        <v>61.099999999998545</v>
      </c>
      <c r="AA42" s="468">
        <f>AA$34*$C11</f>
        <v>46.70936828270295</v>
      </c>
    </row>
    <row r="43" spans="1:27" ht="12.75">
      <c r="A43" s="465">
        <v>38777</v>
      </c>
      <c r="B43" s="467">
        <f t="shared" si="2"/>
        <v>1237</v>
      </c>
      <c r="C43" s="468">
        <f t="shared" si="3"/>
        <v>4361.44366487825</v>
      </c>
      <c r="D43" s="466">
        <v>61</v>
      </c>
      <c r="E43" s="162">
        <f t="shared" si="4"/>
        <v>235.09462939942503</v>
      </c>
      <c r="F43" s="467">
        <f t="shared" si="5"/>
        <v>406</v>
      </c>
      <c r="G43" s="162">
        <f t="shared" si="5"/>
        <v>1985.9996853391344</v>
      </c>
      <c r="H43" s="467">
        <f t="shared" si="6"/>
        <v>1704</v>
      </c>
      <c r="I43" s="468">
        <f t="shared" si="7"/>
        <v>6582.537979616809</v>
      </c>
      <c r="J43" s="467">
        <v>1225</v>
      </c>
      <c r="K43" s="468">
        <f t="shared" si="8"/>
        <v>4118.333333333334</v>
      </c>
      <c r="L43" s="468">
        <v>61</v>
      </c>
      <c r="M43" s="468">
        <f t="shared" si="9"/>
        <v>235.09462939942503</v>
      </c>
      <c r="N43">
        <v>12</v>
      </c>
      <c r="O43" s="468">
        <f t="shared" si="10"/>
        <v>243.1103315449168</v>
      </c>
      <c r="P43">
        <v>9</v>
      </c>
      <c r="Q43" s="468">
        <f>Q$34*$C12+Q$35*$AA43</f>
        <v>611.3571950051432</v>
      </c>
      <c r="R43">
        <v>49</v>
      </c>
      <c r="S43" s="468">
        <f>S$34*$C12+S$35*$AA43</f>
        <v>853.308852478767</v>
      </c>
      <c r="T43">
        <v>188</v>
      </c>
      <c r="U43" s="468">
        <f>U$34*$C12+U$35*$AA43</f>
        <v>246.99172377618135</v>
      </c>
      <c r="V43">
        <v>160</v>
      </c>
      <c r="W43" s="468">
        <f>W$34*$C12+W$35*$AA43</f>
        <v>274.34191407904297</v>
      </c>
      <c r="X43" s="162">
        <f t="shared" si="11"/>
        <v>31.37809222282678</v>
      </c>
      <c r="Y43" s="468">
        <f t="shared" si="12"/>
        <v>1.0448022686660021</v>
      </c>
      <c r="Z43">
        <v>13.800000000000182</v>
      </c>
      <c r="AA43" s="468">
        <f>AA$34*$C12</f>
        <v>16.533289954160594</v>
      </c>
    </row>
    <row r="44" spans="1:27" ht="12.75">
      <c r="A44" s="465">
        <v>38808</v>
      </c>
      <c r="B44" s="467">
        <f t="shared" si="2"/>
        <v>1265</v>
      </c>
      <c r="C44" s="468">
        <f t="shared" si="3"/>
        <v>4452.40080185077</v>
      </c>
      <c r="D44" s="466">
        <v>61</v>
      </c>
      <c r="E44" s="162">
        <f t="shared" si="4"/>
        <v>239.9890652111983</v>
      </c>
      <c r="F44" s="467">
        <f t="shared" si="5"/>
        <v>406</v>
      </c>
      <c r="G44" s="162">
        <f t="shared" si="5"/>
        <v>2027.3462188900114</v>
      </c>
      <c r="H44" s="467">
        <f t="shared" si="6"/>
        <v>1732</v>
      </c>
      <c r="I44" s="468">
        <f t="shared" si="7"/>
        <v>6719.7360859519795</v>
      </c>
      <c r="J44" s="467">
        <v>1253</v>
      </c>
      <c r="K44" s="468">
        <f t="shared" si="8"/>
        <v>4149.782579398949</v>
      </c>
      <c r="L44" s="468">
        <v>61</v>
      </c>
      <c r="M44" s="468">
        <f t="shared" si="9"/>
        <v>239.9890652111983</v>
      </c>
      <c r="N44">
        <v>12</v>
      </c>
      <c r="O44" s="468">
        <f t="shared" si="10"/>
        <v>302.61822245182157</v>
      </c>
      <c r="P44">
        <v>9</v>
      </c>
      <c r="Q44" s="468">
        <f>Q$34*$C13+Q$35*$AA44</f>
        <v>624.085042326294</v>
      </c>
      <c r="R44">
        <v>49</v>
      </c>
      <c r="S44" s="468">
        <f>S$34*$C13+S$35*$AA44</f>
        <v>871.0738921002353</v>
      </c>
      <c r="T44">
        <v>188</v>
      </c>
      <c r="U44" s="468">
        <f>U$34*$C13+U$35*$AA44</f>
        <v>252.133845232337</v>
      </c>
      <c r="V44">
        <v>160</v>
      </c>
      <c r="W44" s="468">
        <f>W$34*$C13+W$35*$AA44</f>
        <v>280.05343923114486</v>
      </c>
      <c r="X44" s="162">
        <f t="shared" si="11"/>
        <v>47.84405057882124</v>
      </c>
      <c r="Y44" s="468">
        <f t="shared" si="12"/>
        <v>1.0665540103074185</v>
      </c>
      <c r="Z44">
        <v>29.900000000000546</v>
      </c>
      <c r="AA44" s="468">
        <f>AA$34*$C13</f>
        <v>16.877496568513276</v>
      </c>
    </row>
    <row r="45" spans="1:27" s="480" customFormat="1" ht="12.75">
      <c r="A45" s="475">
        <v>38838</v>
      </c>
      <c r="B45" s="476">
        <f t="shared" si="2"/>
        <v>1273</v>
      </c>
      <c r="C45" s="477">
        <f t="shared" si="3"/>
        <v>2727.9792147806006</v>
      </c>
      <c r="D45" s="478">
        <v>61</v>
      </c>
      <c r="E45" s="479">
        <f t="shared" si="4"/>
        <v>147.0432979177997</v>
      </c>
      <c r="F45" s="476">
        <f t="shared" si="5"/>
        <v>406</v>
      </c>
      <c r="G45" s="479">
        <f t="shared" si="5"/>
        <v>1242.1719038924716</v>
      </c>
      <c r="H45" s="476">
        <f t="shared" si="6"/>
        <v>1740</v>
      </c>
      <c r="I45" s="477">
        <f t="shared" si="7"/>
        <v>4117.194416590872</v>
      </c>
      <c r="J45" s="476">
        <v>1261</v>
      </c>
      <c r="K45" s="477">
        <f t="shared" si="8"/>
        <v>2468.0070053887607</v>
      </c>
      <c r="L45" s="477">
        <v>61</v>
      </c>
      <c r="M45" s="477">
        <f t="shared" si="9"/>
        <v>147.0432979177997</v>
      </c>
      <c r="N45" s="480">
        <v>12</v>
      </c>
      <c r="O45" s="477">
        <f t="shared" si="10"/>
        <v>259.9722093918399</v>
      </c>
      <c r="P45" s="480">
        <v>9</v>
      </c>
      <c r="Q45" s="477">
        <f>Q$34*$C14+Q$35*$AA45</f>
        <v>382.382100301401</v>
      </c>
      <c r="R45" s="480">
        <v>49</v>
      </c>
      <c r="S45" s="477">
        <f>S$34*$C14+S$35*$AA45</f>
        <v>533.7142244868228</v>
      </c>
      <c r="T45" s="480">
        <v>188</v>
      </c>
      <c r="U45" s="477">
        <f>U$34*$C14+U$35*$AA45</f>
        <v>154.4845057295926</v>
      </c>
      <c r="V45" s="480">
        <v>160</v>
      </c>
      <c r="W45" s="477">
        <f>W$34*$C14+W$35*$AA45</f>
        <v>171.59107337465528</v>
      </c>
      <c r="X45" s="479">
        <f t="shared" si="11"/>
        <v>25.694469155466102</v>
      </c>
      <c r="Y45" s="477">
        <f t="shared" si="12"/>
        <v>0.6534865200839152</v>
      </c>
      <c r="Z45" s="480">
        <v>14.700000000000273</v>
      </c>
      <c r="AA45" s="477">
        <f>AA$34*$C14</f>
        <v>10.340982635381916</v>
      </c>
    </row>
    <row r="46" spans="1:27" s="480" customFormat="1" ht="12.75">
      <c r="A46" s="475">
        <v>38869</v>
      </c>
      <c r="B46" s="476">
        <f t="shared" si="2"/>
        <v>1285</v>
      </c>
      <c r="C46" s="477">
        <f t="shared" si="3"/>
        <v>3092.749907841552</v>
      </c>
      <c r="D46" s="478">
        <v>61</v>
      </c>
      <c r="E46" s="479">
        <f t="shared" si="4"/>
        <v>166.69650603423716</v>
      </c>
      <c r="F46" s="478">
        <v>390</v>
      </c>
      <c r="G46" s="479">
        <f aca="true" t="shared" si="13" ref="G46:G52">Q46+S46+U46+W46</f>
        <v>2451.5999999999995</v>
      </c>
      <c r="H46" s="476">
        <f t="shared" si="6"/>
        <v>1736</v>
      </c>
      <c r="I46" s="477">
        <f t="shared" si="7"/>
        <v>5711.046413875789</v>
      </c>
      <c r="J46" s="476">
        <v>1273</v>
      </c>
      <c r="K46" s="477">
        <f t="shared" si="8"/>
        <v>2780.9240452708164</v>
      </c>
      <c r="L46" s="477">
        <v>61</v>
      </c>
      <c r="M46" s="477">
        <f t="shared" si="9"/>
        <v>166.69650603423716</v>
      </c>
      <c r="N46" s="480">
        <v>12</v>
      </c>
      <c r="O46" s="477">
        <f t="shared" si="10"/>
        <v>311.82586257073564</v>
      </c>
      <c r="P46" s="480">
        <v>9</v>
      </c>
      <c r="Q46" s="479">
        <f>835.8+Q$35*$AA46</f>
        <v>836.6311503967997</v>
      </c>
      <c r="R46" s="480">
        <v>49</v>
      </c>
      <c r="S46" s="479">
        <f>1181.3+S$35*$AA46</f>
        <v>1182.4600877475964</v>
      </c>
      <c r="T46" s="480">
        <v>206</v>
      </c>
      <c r="U46" s="479">
        <f>186.9+U$35*$AA46</f>
        <v>187.2357894057681</v>
      </c>
      <c r="V46" s="480">
        <v>160</v>
      </c>
      <c r="W46" s="479">
        <f>244.9+W$35*$AA46</f>
        <v>245.27297244983546</v>
      </c>
      <c r="X46" s="479">
        <f t="shared" si="11"/>
        <v>31.240828865925536</v>
      </c>
      <c r="Y46" s="477">
        <f t="shared" si="12"/>
        <v>0.7408288659259898</v>
      </c>
      <c r="Z46" s="480">
        <v>27.799999999999727</v>
      </c>
      <c r="AA46" s="480">
        <v>2.699999999999818</v>
      </c>
    </row>
    <row r="47" spans="1:27" s="480" customFormat="1" ht="12.75">
      <c r="A47" s="475">
        <v>38899</v>
      </c>
      <c r="B47" s="476">
        <f t="shared" si="2"/>
        <v>1288</v>
      </c>
      <c r="C47" s="477">
        <f t="shared" si="3"/>
        <v>2268.268887223349</v>
      </c>
      <c r="D47" s="478">
        <v>61</v>
      </c>
      <c r="E47" s="479">
        <f t="shared" si="4"/>
        <v>122.26386903374511</v>
      </c>
      <c r="F47" s="478">
        <v>393</v>
      </c>
      <c r="G47" s="479">
        <f t="shared" si="13"/>
        <v>1635.5</v>
      </c>
      <c r="H47" s="476">
        <f t="shared" si="6"/>
        <v>1742</v>
      </c>
      <c r="I47" s="477">
        <f t="shared" si="7"/>
        <v>4026.032756257094</v>
      </c>
      <c r="J47" s="476">
        <v>1276</v>
      </c>
      <c r="K47" s="477">
        <f t="shared" si="8"/>
        <v>2151.259073273962</v>
      </c>
      <c r="L47" s="477">
        <v>61</v>
      </c>
      <c r="M47" s="477">
        <f t="shared" si="9"/>
        <v>122.26386903374511</v>
      </c>
      <c r="N47" s="480">
        <v>12</v>
      </c>
      <c r="O47" s="477">
        <f t="shared" si="10"/>
        <v>117.00981394938718</v>
      </c>
      <c r="P47" s="480">
        <v>9</v>
      </c>
      <c r="Q47" s="479">
        <f>593.5+Q$35*$AA47</f>
        <v>593.9617502204443</v>
      </c>
      <c r="R47" s="480">
        <v>43</v>
      </c>
      <c r="S47" s="479">
        <f>845.5+S$35*$AA47</f>
        <v>846.1444931931093</v>
      </c>
      <c r="T47" s="480">
        <v>198</v>
      </c>
      <c r="U47" s="479">
        <f>80.8+U$35*$AA47</f>
        <v>80.98654966987117</v>
      </c>
      <c r="V47" s="480">
        <v>149</v>
      </c>
      <c r="W47" s="479">
        <f>114.2+W$35*$AA47</f>
        <v>114.40720691657526</v>
      </c>
      <c r="X47" s="479">
        <f t="shared" si="11"/>
        <v>14.543362339108596</v>
      </c>
      <c r="Y47" s="477">
        <f t="shared" si="12"/>
        <v>0.543362339108595</v>
      </c>
      <c r="Z47" s="480">
        <v>12.5</v>
      </c>
      <c r="AA47" s="480">
        <v>1.5</v>
      </c>
    </row>
    <row r="48" spans="1:27" s="480" customFormat="1" ht="12.75">
      <c r="A48" s="475">
        <v>38930</v>
      </c>
      <c r="B48" s="476">
        <f t="shared" si="2"/>
        <v>1294</v>
      </c>
      <c r="C48" s="477">
        <f t="shared" si="3"/>
        <v>2447.4217741276457</v>
      </c>
      <c r="D48" s="478">
        <v>61</v>
      </c>
      <c r="E48" s="479">
        <f t="shared" si="4"/>
        <v>102.1</v>
      </c>
      <c r="F48" s="478">
        <v>388</v>
      </c>
      <c r="G48" s="479">
        <f t="shared" si="13"/>
        <v>1905.4</v>
      </c>
      <c r="H48" s="476">
        <f t="shared" si="6"/>
        <v>1743</v>
      </c>
      <c r="I48" s="477">
        <f t="shared" si="7"/>
        <v>4454.921774127646</v>
      </c>
      <c r="J48" s="476">
        <v>1282</v>
      </c>
      <c r="K48" s="477">
        <f t="shared" si="8"/>
        <v>2322.2277518999754</v>
      </c>
      <c r="L48" s="477">
        <f>L17</f>
        <v>61</v>
      </c>
      <c r="M48" s="477">
        <f>M17+Y48</f>
        <v>102.1</v>
      </c>
      <c r="N48" s="480">
        <v>12</v>
      </c>
      <c r="O48" s="477">
        <f t="shared" si="10"/>
        <v>125.19402222767016</v>
      </c>
      <c r="P48" s="480">
        <v>8</v>
      </c>
      <c r="Q48" s="479">
        <f>863.1+Q$35*$AA48</f>
        <v>863.6541002645333</v>
      </c>
      <c r="R48" s="480">
        <v>42</v>
      </c>
      <c r="S48" s="479">
        <f>835+S$35*$AA48</f>
        <v>835.7733918317311</v>
      </c>
      <c r="T48" s="480">
        <v>196</v>
      </c>
      <c r="U48" s="479">
        <f>86.2+U$35*$AA48</f>
        <v>86.42385960384543</v>
      </c>
      <c r="V48" s="480">
        <v>146</v>
      </c>
      <c r="W48" s="479">
        <f>119.3+W$35*$AA48</f>
        <v>119.54864829989033</v>
      </c>
      <c r="X48" s="479">
        <f t="shared" si="11"/>
        <v>9.099999999999909</v>
      </c>
      <c r="Y48" s="480">
        <v>0</v>
      </c>
      <c r="Z48" s="480">
        <v>7.299999999999727</v>
      </c>
      <c r="AA48" s="480">
        <v>1.800000000000182</v>
      </c>
    </row>
    <row r="49" spans="1:27" ht="12.75">
      <c r="A49" s="465">
        <v>38961</v>
      </c>
      <c r="B49" s="467">
        <f t="shared" si="2"/>
        <v>1334</v>
      </c>
      <c r="C49" s="468">
        <f t="shared" si="3"/>
        <v>4173.048580124135</v>
      </c>
      <c r="D49" s="466">
        <v>61</v>
      </c>
      <c r="E49" s="162">
        <f t="shared" si="4"/>
        <v>167.4</v>
      </c>
      <c r="F49" s="466">
        <v>414</v>
      </c>
      <c r="G49" s="162">
        <f t="shared" si="13"/>
        <v>3542.6</v>
      </c>
      <c r="H49" s="467">
        <f t="shared" si="6"/>
        <v>1809</v>
      </c>
      <c r="I49" s="468">
        <f t="shared" si="7"/>
        <v>7883.048580124134</v>
      </c>
      <c r="J49" s="467">
        <v>1322</v>
      </c>
      <c r="K49" s="468">
        <f t="shared" si="8"/>
        <v>3979.050144983106</v>
      </c>
      <c r="L49" s="468">
        <f>L18</f>
        <v>61</v>
      </c>
      <c r="M49" s="468">
        <f>M18+Y49</f>
        <v>167.4</v>
      </c>
      <c r="N49">
        <v>12</v>
      </c>
      <c r="O49" s="468">
        <f t="shared" si="10"/>
        <v>193.99843514102903</v>
      </c>
      <c r="P49">
        <v>7</v>
      </c>
      <c r="Q49" s="162">
        <f>1347.3+Q$35*$AA49</f>
        <v>1351.271051895821</v>
      </c>
      <c r="R49">
        <v>44</v>
      </c>
      <c r="S49" s="162">
        <f>1683.2+S$35*$AA49</f>
        <v>1688.7426414607394</v>
      </c>
      <c r="T49">
        <v>217</v>
      </c>
      <c r="U49" s="162">
        <f>189.8+U$35*$AA49</f>
        <v>191.40432716089208</v>
      </c>
      <c r="V49">
        <v>144</v>
      </c>
      <c r="W49" s="162">
        <f>309.4+W$35*$AA49</f>
        <v>311.1819794825472</v>
      </c>
      <c r="X49" s="162">
        <f t="shared" si="11"/>
        <v>41.0000000000002</v>
      </c>
      <c r="Y49">
        <v>3.200000000000017</v>
      </c>
      <c r="Z49">
        <v>24.900000000000546</v>
      </c>
      <c r="AA49">
        <v>12.899999999999636</v>
      </c>
    </row>
    <row r="50" spans="1:27" ht="12.75">
      <c r="A50" s="465">
        <v>38991</v>
      </c>
      <c r="B50" s="467">
        <f t="shared" si="2"/>
        <v>1335</v>
      </c>
      <c r="C50" s="468">
        <f t="shared" si="3"/>
        <v>2418.0400223334295</v>
      </c>
      <c r="D50" s="466">
        <v>61</v>
      </c>
      <c r="E50" s="162">
        <f t="shared" si="4"/>
        <v>122.5</v>
      </c>
      <c r="F50" s="466">
        <v>415</v>
      </c>
      <c r="G50" s="162">
        <f t="shared" si="13"/>
        <v>1676.2</v>
      </c>
      <c r="H50" s="467">
        <f t="shared" si="6"/>
        <v>1811</v>
      </c>
      <c r="I50" s="468">
        <f t="shared" si="7"/>
        <v>4216.74002233343</v>
      </c>
      <c r="J50" s="467">
        <v>1323</v>
      </c>
      <c r="K50" s="468">
        <f t="shared" si="8"/>
        <v>2323.8899954505973</v>
      </c>
      <c r="L50" s="468">
        <f>L19</f>
        <v>61</v>
      </c>
      <c r="M50" s="468">
        <f>M19+Y50</f>
        <v>122.5</v>
      </c>
      <c r="N50">
        <v>12</v>
      </c>
      <c r="O50" s="468">
        <f t="shared" si="10"/>
        <v>94.15002688283221</v>
      </c>
      <c r="P50">
        <v>6</v>
      </c>
      <c r="Q50" s="162">
        <f>562.4+Q$35*$AA50</f>
        <v>566.4634019399101</v>
      </c>
      <c r="R50">
        <v>43</v>
      </c>
      <c r="S50" s="162">
        <f>813.3+S$35*$AA50</f>
        <v>818.9715400993612</v>
      </c>
      <c r="T50">
        <v>233</v>
      </c>
      <c r="U50" s="162">
        <f>134.4+U$35*$AA50</f>
        <v>136.04163709486633</v>
      </c>
      <c r="V50">
        <v>141</v>
      </c>
      <c r="W50" s="162">
        <f>152.9+W$35*$AA50</f>
        <v>154.72342086586232</v>
      </c>
      <c r="X50" s="162">
        <f t="shared" si="11"/>
        <v>31.60000000000009</v>
      </c>
      <c r="Y50">
        <v>0</v>
      </c>
      <c r="Z50">
        <v>18.40000000000009</v>
      </c>
      <c r="AA50">
        <v>13.2</v>
      </c>
    </row>
    <row r="51" spans="1:27" ht="12.75">
      <c r="A51" s="465">
        <v>39022</v>
      </c>
      <c r="B51" s="467">
        <f t="shared" si="2"/>
        <v>1353</v>
      </c>
      <c r="C51" s="468">
        <f t="shared" si="3"/>
        <v>8592.742888068995</v>
      </c>
      <c r="D51" s="466">
        <v>60</v>
      </c>
      <c r="E51" s="162">
        <f t="shared" si="4"/>
        <v>585</v>
      </c>
      <c r="F51" s="466">
        <v>422</v>
      </c>
      <c r="G51" s="162">
        <f t="shared" si="13"/>
        <v>2532.8999999999996</v>
      </c>
      <c r="H51" s="467">
        <f t="shared" si="6"/>
        <v>1835</v>
      </c>
      <c r="I51" s="468">
        <f t="shared" si="7"/>
        <v>11710.642888068995</v>
      </c>
      <c r="J51" s="467">
        <v>1341</v>
      </c>
      <c r="K51" s="468">
        <f t="shared" si="8"/>
        <v>8376.588322722564</v>
      </c>
      <c r="L51" s="468">
        <f>L20</f>
        <v>60</v>
      </c>
      <c r="M51" s="468">
        <f>M20+Y51</f>
        <v>585</v>
      </c>
      <c r="N51">
        <v>12</v>
      </c>
      <c r="O51" s="468">
        <f t="shared" si="10"/>
        <v>216.15456534643087</v>
      </c>
      <c r="P51">
        <v>6</v>
      </c>
      <c r="Q51" s="162">
        <f>601.8+Q$35*$AA51</f>
        <v>617.4995074951072</v>
      </c>
      <c r="R51">
        <v>43</v>
      </c>
      <c r="S51" s="162">
        <f>1048.9+S$35*$AA51</f>
        <v>1070.812768565714</v>
      </c>
      <c r="T51">
        <v>229</v>
      </c>
      <c r="U51" s="162">
        <f>437.8+U$35*$AA51</f>
        <v>444.14268877561994</v>
      </c>
      <c r="V51">
        <v>141</v>
      </c>
      <c r="W51" s="162">
        <f>393.4+W$35*$AA51</f>
        <v>400.44503516355894</v>
      </c>
      <c r="X51" s="162">
        <f t="shared" si="11"/>
        <v>136.09999999999854</v>
      </c>
      <c r="Y51">
        <v>0</v>
      </c>
      <c r="Z51">
        <v>85.09999999999854</v>
      </c>
      <c r="AA51">
        <v>51</v>
      </c>
    </row>
    <row r="52" spans="1:27" ht="12.75">
      <c r="A52" s="465">
        <v>39052</v>
      </c>
      <c r="B52" s="467">
        <f t="shared" si="2"/>
        <v>1382</v>
      </c>
      <c r="C52" s="468">
        <f t="shared" si="3"/>
        <v>13260.700776000545</v>
      </c>
      <c r="D52" s="466">
        <v>60</v>
      </c>
      <c r="E52" s="162">
        <f t="shared" si="4"/>
        <v>688.1</v>
      </c>
      <c r="F52" s="466">
        <v>419</v>
      </c>
      <c r="G52" s="162">
        <f t="shared" si="13"/>
        <v>4409.1</v>
      </c>
      <c r="H52" s="467">
        <f t="shared" si="6"/>
        <v>1861</v>
      </c>
      <c r="I52" s="468">
        <f t="shared" si="7"/>
        <v>18357.900776000548</v>
      </c>
      <c r="J52" s="467">
        <v>1370</v>
      </c>
      <c r="K52" s="468">
        <f t="shared" si="8"/>
        <v>13043.816363883172</v>
      </c>
      <c r="L52" s="468">
        <f>L21</f>
        <v>60</v>
      </c>
      <c r="M52" s="468">
        <f>M21+Y52</f>
        <v>688.1</v>
      </c>
      <c r="N52">
        <v>12</v>
      </c>
      <c r="O52" s="468">
        <f t="shared" si="10"/>
        <v>216.88441211737296</v>
      </c>
      <c r="P52">
        <v>6</v>
      </c>
      <c r="Q52" s="162">
        <f>919.4+Q$35*$AA52</f>
        <v>931.1592389473158</v>
      </c>
      <c r="R52">
        <v>43</v>
      </c>
      <c r="S52" s="162">
        <f>1613+S$35*$AA52</f>
        <v>1629.4130933178487</v>
      </c>
      <c r="T52">
        <v>231</v>
      </c>
      <c r="U52" s="162">
        <f>886.6+U$35*$AA52</f>
        <v>891.350798259386</v>
      </c>
      <c r="V52">
        <v>140</v>
      </c>
      <c r="W52" s="162">
        <f>951.9+W$35*$AA52</f>
        <v>957.1768694754501</v>
      </c>
      <c r="X52" s="162">
        <f t="shared" si="11"/>
        <v>115.30000000000223</v>
      </c>
      <c r="Y52">
        <v>4.2000000000000455</v>
      </c>
      <c r="Z52">
        <v>72.90000000000146</v>
      </c>
      <c r="AA52">
        <v>38.20000000000073</v>
      </c>
    </row>
    <row r="53" ht="5.25" customHeight="1"/>
    <row r="54" spans="1:27" ht="12.75">
      <c r="A54" s="162">
        <f>K54+M54+O54+Q54+S54+U54+W54</f>
        <v>106152.20587994355</v>
      </c>
      <c r="C54" s="162">
        <f>SUM(C41:C52)</f>
        <v>69244.14669909772</v>
      </c>
      <c r="D54" s="162">
        <f>SUM(D41:D52)</f>
        <v>730</v>
      </c>
      <c r="E54" s="162">
        <f>SUM(E41:E52)</f>
        <v>3732.352288736954</v>
      </c>
      <c r="F54" s="162">
        <f>SUM(F41:F52)</f>
        <v>4871</v>
      </c>
      <c r="G54" s="162">
        <f>SUM(G41:G52)</f>
        <v>33175.70689210887</v>
      </c>
      <c r="I54" s="162">
        <f aca="true" t="shared" si="14" ref="I54:AA54">SUM(I41:I52)</f>
        <v>106152.20587994353</v>
      </c>
      <c r="J54" s="162">
        <f t="shared" si="14"/>
        <v>15356</v>
      </c>
      <c r="K54" s="162">
        <f t="shared" si="14"/>
        <v>66393.99615909296</v>
      </c>
      <c r="L54" s="162">
        <f t="shared" si="14"/>
        <v>730</v>
      </c>
      <c r="M54" s="162">
        <f t="shared" si="14"/>
        <v>3732.352288736954</v>
      </c>
      <c r="N54" s="162">
        <f t="shared" si="14"/>
        <v>144</v>
      </c>
      <c r="O54" s="162">
        <f t="shared" si="14"/>
        <v>2850.150540004755</v>
      </c>
      <c r="P54" s="162">
        <f t="shared" si="14"/>
        <v>96</v>
      </c>
      <c r="Q54" s="162">
        <f t="shared" si="14"/>
        <v>10385.039997183727</v>
      </c>
      <c r="R54" s="162">
        <f t="shared" si="14"/>
        <v>552</v>
      </c>
      <c r="S54" s="162">
        <f t="shared" si="14"/>
        <v>14526.877340270366</v>
      </c>
      <c r="T54" s="162">
        <f t="shared" si="14"/>
        <v>2450</v>
      </c>
      <c r="U54" s="162">
        <f t="shared" si="14"/>
        <v>3885.8690142324945</v>
      </c>
      <c r="V54" s="162">
        <f t="shared" si="14"/>
        <v>1821</v>
      </c>
      <c r="W54" s="162">
        <f t="shared" si="14"/>
        <v>4377.920540422293</v>
      </c>
      <c r="X54" s="162">
        <f t="shared" si="14"/>
        <v>678.8475827441541</v>
      </c>
      <c r="Y54" s="162">
        <f t="shared" si="14"/>
        <v>16.587236163986365</v>
      </c>
      <c r="Z54" s="162">
        <f t="shared" si="14"/>
        <v>415.89999999999964</v>
      </c>
      <c r="AA54" s="162">
        <f t="shared" si="14"/>
        <v>246.36034658016825</v>
      </c>
    </row>
    <row r="55" spans="1:27" ht="11.25" customHeight="1">
      <c r="A55" s="162"/>
      <c r="C55" s="162"/>
      <c r="E55" s="162"/>
      <c r="G55" s="162"/>
      <c r="I55" s="162"/>
      <c r="J55" s="162"/>
      <c r="K55" s="162"/>
      <c r="L55" s="479">
        <f>+L54-L23</f>
        <v>427</v>
      </c>
      <c r="M55" s="479">
        <f>+M54-M23</f>
        <v>2074.6522887369542</v>
      </c>
      <c r="N55" s="162"/>
      <c r="O55" s="162"/>
      <c r="P55" s="479">
        <f aca="true" t="shared" si="15" ref="P55:W55">+P54-P23</f>
        <v>45</v>
      </c>
      <c r="Q55" s="479">
        <f t="shared" si="15"/>
        <v>4661.739997183728</v>
      </c>
      <c r="R55" s="479">
        <f t="shared" si="15"/>
        <v>245</v>
      </c>
      <c r="S55" s="479">
        <f t="shared" si="15"/>
        <v>6506.677340270366</v>
      </c>
      <c r="T55" s="479">
        <f t="shared" si="15"/>
        <v>940</v>
      </c>
      <c r="U55" s="479">
        <f t="shared" si="15"/>
        <v>1883.3690142324945</v>
      </c>
      <c r="V55" s="479">
        <f t="shared" si="15"/>
        <v>800</v>
      </c>
      <c r="W55" s="479">
        <f t="shared" si="15"/>
        <v>2091.920540422293</v>
      </c>
      <c r="X55" s="162"/>
      <c r="Y55" s="162"/>
      <c r="Z55" s="162"/>
      <c r="AA55" s="162"/>
    </row>
    <row r="56" spans="1:27" ht="12.75">
      <c r="A56" s="227" t="s">
        <v>134</v>
      </c>
      <c r="C56" s="162"/>
      <c r="E56" s="162"/>
      <c r="G56" s="162"/>
      <c r="I56" s="162"/>
      <c r="J56" s="162"/>
      <c r="K56" s="162"/>
      <c r="L56" s="162"/>
      <c r="M56" s="162"/>
      <c r="N56" s="162"/>
      <c r="O56" s="162"/>
      <c r="P56" s="162"/>
      <c r="Q56" s="162"/>
      <c r="R56" s="162"/>
      <c r="S56" s="162"/>
      <c r="T56" s="162"/>
      <c r="U56" s="162"/>
      <c r="V56" s="162"/>
      <c r="W56" s="162"/>
      <c r="X56" s="162"/>
      <c r="Y56" s="162"/>
      <c r="Z56" s="162"/>
      <c r="AA56" s="162"/>
    </row>
    <row r="57" spans="1:27" ht="6" customHeight="1">
      <c r="A57" s="162"/>
      <c r="C57" s="162"/>
      <c r="E57" s="162"/>
      <c r="G57" s="162"/>
      <c r="I57" s="162"/>
      <c r="J57" s="162"/>
      <c r="K57" s="162"/>
      <c r="L57" s="162"/>
      <c r="M57" s="162"/>
      <c r="N57" s="162"/>
      <c r="O57" s="162"/>
      <c r="P57" s="162"/>
      <c r="Q57" s="162"/>
      <c r="R57" s="162"/>
      <c r="S57" s="162"/>
      <c r="T57" s="162"/>
      <c r="U57" s="162"/>
      <c r="V57" s="162"/>
      <c r="W57" s="162"/>
      <c r="X57" s="162"/>
      <c r="Y57" s="162"/>
      <c r="Z57" s="162"/>
      <c r="AA57" s="162"/>
    </row>
    <row r="58" spans="1:27" ht="12.75">
      <c r="A58" s="162" t="s">
        <v>135</v>
      </c>
      <c r="C58" s="162">
        <f>C54-C23</f>
        <v>2.7466990977118257</v>
      </c>
      <c r="E58" s="162">
        <f>E54-E23</f>
        <v>2067.252288736954</v>
      </c>
      <c r="G58" s="162">
        <f>G54-G23</f>
        <v>15022.40689210887</v>
      </c>
      <c r="I58" s="162">
        <f>I54-I23</f>
        <v>17092.40587994353</v>
      </c>
      <c r="J58">
        <f>J52*12-J54</f>
        <v>1084</v>
      </c>
      <c r="K58" s="162">
        <f>K54-K86</f>
        <v>0</v>
      </c>
      <c r="L58">
        <f>L52*12-L54</f>
        <v>-10</v>
      </c>
      <c r="M58" s="162">
        <f>M54-M86</f>
        <v>2067.252288736954</v>
      </c>
      <c r="N58">
        <f>N52*12-N54</f>
        <v>0</v>
      </c>
      <c r="O58" s="162">
        <f>O54-O86</f>
        <v>0</v>
      </c>
      <c r="P58">
        <f>P52*12-P54</f>
        <v>-24</v>
      </c>
      <c r="Q58" s="162">
        <f>Q54-Q86</f>
        <v>4624.399796023796</v>
      </c>
      <c r="R58">
        <f>R52*12-R54</f>
        <v>-36</v>
      </c>
      <c r="S58" s="162">
        <f>S54-S86</f>
        <v>6454.559324054268</v>
      </c>
      <c r="T58">
        <f>T52*12-T54</f>
        <v>322</v>
      </c>
      <c r="U58" s="162">
        <f>U54-U86</f>
        <v>1868.2833642622454</v>
      </c>
      <c r="V58">
        <f>V52*12-V54</f>
        <v>-141</v>
      </c>
      <c r="W58" s="162">
        <f>W54-W86</f>
        <v>2075.1644077685733</v>
      </c>
      <c r="X58" s="162">
        <f>X54-X23</f>
        <v>134.24758274415422</v>
      </c>
      <c r="Y58" s="162">
        <f>Y54-Y23</f>
        <v>9.187236163986302</v>
      </c>
      <c r="Z58" s="162">
        <f>Z54-Z23</f>
        <v>0</v>
      </c>
      <c r="AA58" s="162">
        <f>AA54-AA23</f>
        <v>125.06034658016789</v>
      </c>
    </row>
    <row r="59" spans="1:27" ht="12.75">
      <c r="A59" s="162" t="s">
        <v>136</v>
      </c>
      <c r="C59" s="162"/>
      <c r="E59" s="162"/>
      <c r="G59" s="162"/>
      <c r="I59" s="162"/>
      <c r="J59">
        <f>K54/J54</f>
        <v>4.323651742582245</v>
      </c>
      <c r="K59" s="162"/>
      <c r="L59">
        <f>M54/L54</f>
        <v>5.112811354434184</v>
      </c>
      <c r="M59" s="162"/>
      <c r="N59">
        <f>O54/N54</f>
        <v>19.792712083366354</v>
      </c>
      <c r="O59" s="162"/>
      <c r="P59">
        <f>Q54/P54</f>
        <v>108.17749997066382</v>
      </c>
      <c r="Q59" s="162"/>
      <c r="R59">
        <f>S54/R54</f>
        <v>26.316806775852115</v>
      </c>
      <c r="S59" s="162"/>
      <c r="T59">
        <f>U54/T54</f>
        <v>1.5860689854010181</v>
      </c>
      <c r="U59" s="162"/>
      <c r="V59">
        <f>W54/V54</f>
        <v>2.404129895893626</v>
      </c>
      <c r="W59" s="162"/>
      <c r="X59" s="162"/>
      <c r="Y59" s="162"/>
      <c r="Z59" s="162"/>
      <c r="AA59" s="162"/>
    </row>
    <row r="60" ht="6.75" customHeight="1"/>
    <row r="61" spans="1:23" s="469" customFormat="1" ht="12.75">
      <c r="A61" s="469" t="s">
        <v>129</v>
      </c>
      <c r="I61" s="470">
        <f>K61+M61+O61+Q61+S61+U61+W61</f>
        <v>27937</v>
      </c>
      <c r="J61" s="470"/>
      <c r="K61" s="470">
        <f>(J54-J23)*12.5</f>
        <v>0</v>
      </c>
      <c r="L61" s="470"/>
      <c r="M61" s="470">
        <f>(L54-L23)*6</f>
        <v>2562</v>
      </c>
      <c r="N61" s="470"/>
      <c r="O61" s="470">
        <f>(N54-N23)*12.5</f>
        <v>0</v>
      </c>
      <c r="P61" s="470"/>
      <c r="Q61" s="470">
        <f>(P54-P23)*12.5</f>
        <v>562.5</v>
      </c>
      <c r="R61" s="470"/>
      <c r="S61" s="470">
        <f>(R54-R23)*12.5</f>
        <v>3062.5</v>
      </c>
      <c r="T61" s="470"/>
      <c r="U61" s="470">
        <f>(T54-T23)*12.5</f>
        <v>11750</v>
      </c>
      <c r="V61" s="470"/>
      <c r="W61" s="470">
        <f>(V54-V23)*12.5</f>
        <v>10000</v>
      </c>
    </row>
    <row r="62" spans="1:27" ht="12.75">
      <c r="A62" t="s">
        <v>130</v>
      </c>
      <c r="C62" s="162"/>
      <c r="E62" s="162"/>
      <c r="G62" s="162"/>
      <c r="I62" s="470">
        <f>K62+M62+O62+Q62+S62+U62+W62</f>
        <v>91567.64287435582</v>
      </c>
      <c r="J62" s="470"/>
      <c r="K62" s="470">
        <f>K58*K26</f>
        <v>0</v>
      </c>
      <c r="L62" s="470"/>
      <c r="M62" s="470">
        <f>M58*M26</f>
        <v>5188.803244729755</v>
      </c>
      <c r="N62" s="470"/>
      <c r="O62" s="470">
        <f>O58*O26</f>
        <v>0</v>
      </c>
      <c r="P62" s="470"/>
      <c r="Q62" s="470">
        <f>Q58*Q26</f>
        <v>26590.298827136827</v>
      </c>
      <c r="R62" s="470"/>
      <c r="S62" s="470">
        <f>S58*S26</f>
        <v>37113.71611331204</v>
      </c>
      <c r="T62" s="470"/>
      <c r="U62" s="470">
        <f>U58*U26</f>
        <v>10742.629344507912</v>
      </c>
      <c r="V62" s="470"/>
      <c r="W62" s="470">
        <f>W58*W26</f>
        <v>11932.195344669297</v>
      </c>
      <c r="X62" s="162"/>
      <c r="Y62" s="162"/>
      <c r="Z62" s="162"/>
      <c r="AA62" s="162"/>
    </row>
    <row r="63" spans="1:27" ht="12.75">
      <c r="A63" s="162" t="s">
        <v>490</v>
      </c>
      <c r="C63" s="162"/>
      <c r="E63" s="162"/>
      <c r="G63" s="162"/>
      <c r="I63" s="470">
        <f>K63+M63+O63+Q63+S63+U63+W63</f>
        <v>119504.64287435582</v>
      </c>
      <c r="J63" s="470"/>
      <c r="K63" s="470">
        <f>K61+K62</f>
        <v>0</v>
      </c>
      <c r="L63" s="470"/>
      <c r="M63" s="470">
        <f>M61+M62</f>
        <v>7750.803244729755</v>
      </c>
      <c r="N63" s="470"/>
      <c r="O63" s="470">
        <f>O61+O62</f>
        <v>0</v>
      </c>
      <c r="P63" s="470"/>
      <c r="Q63" s="470">
        <f>Q61+Q62</f>
        <v>27152.798827136827</v>
      </c>
      <c r="R63" s="470"/>
      <c r="S63" s="470">
        <f>S61+S62</f>
        <v>40176.21611331204</v>
      </c>
      <c r="T63" s="470"/>
      <c r="U63" s="470">
        <f>U61+U62</f>
        <v>22492.629344507914</v>
      </c>
      <c r="V63" s="470"/>
      <c r="W63" s="470">
        <f>W61+W62</f>
        <v>21932.195344669297</v>
      </c>
      <c r="X63" s="162"/>
      <c r="Y63" s="162"/>
      <c r="Z63" s="162"/>
      <c r="AA63" s="162"/>
    </row>
    <row r="64" spans="3:27" ht="6.75" customHeight="1" thickBot="1">
      <c r="C64" s="162"/>
      <c r="E64" s="162"/>
      <c r="G64" s="162"/>
      <c r="I64" s="470"/>
      <c r="J64" s="470"/>
      <c r="K64" s="470"/>
      <c r="L64" s="470"/>
      <c r="M64" s="470"/>
      <c r="N64" s="470"/>
      <c r="O64" s="470"/>
      <c r="P64" s="470"/>
      <c r="Q64" s="470"/>
      <c r="R64" s="470"/>
      <c r="S64" s="470"/>
      <c r="T64" s="470"/>
      <c r="U64" s="470"/>
      <c r="V64" s="470"/>
      <c r="W64" s="470"/>
      <c r="X64" s="162"/>
      <c r="Y64" s="162"/>
      <c r="Z64" s="162"/>
      <c r="AA64" s="162"/>
    </row>
    <row r="65" spans="1:27" ht="13.5" thickBot="1">
      <c r="A65" s="471" t="s">
        <v>137</v>
      </c>
      <c r="C65" s="162"/>
      <c r="E65" s="162"/>
      <c r="G65" s="162"/>
      <c r="H65" s="675">
        <f>+J65+L65+N65+P65+T65</f>
        <v>6207</v>
      </c>
      <c r="I65" s="676">
        <f>+K65+M65+O65+Q65+U65</f>
        <v>14260.283262551186</v>
      </c>
      <c r="J65" s="466">
        <f aca="true" t="shared" si="16" ref="J65:W65">J45+J46+J47+J48</f>
        <v>5092</v>
      </c>
      <c r="K65" s="466">
        <f t="shared" si="16"/>
        <v>9722.417875833515</v>
      </c>
      <c r="L65" s="466">
        <f t="shared" si="16"/>
        <v>244</v>
      </c>
      <c r="M65" s="466">
        <f t="shared" si="16"/>
        <v>538.1036729857819</v>
      </c>
      <c r="N65" s="466">
        <f t="shared" si="16"/>
        <v>48</v>
      </c>
      <c r="O65" s="466">
        <f t="shared" si="16"/>
        <v>814.0019081396329</v>
      </c>
      <c r="P65" s="466">
        <f t="shared" si="16"/>
        <v>35</v>
      </c>
      <c r="Q65" s="466">
        <f t="shared" si="16"/>
        <v>2676.629101183178</v>
      </c>
      <c r="R65" s="466">
        <f t="shared" si="16"/>
        <v>183</v>
      </c>
      <c r="S65" s="466">
        <f t="shared" si="16"/>
        <v>3398.0921972592596</v>
      </c>
      <c r="T65" s="466">
        <f t="shared" si="16"/>
        <v>788</v>
      </c>
      <c r="U65" s="466">
        <f t="shared" si="16"/>
        <v>509.1307044090773</v>
      </c>
      <c r="V65" s="466">
        <f t="shared" si="16"/>
        <v>615</v>
      </c>
      <c r="W65" s="466">
        <f t="shared" si="16"/>
        <v>650.8199010409564</v>
      </c>
      <c r="X65" s="162"/>
      <c r="Y65" s="162"/>
      <c r="Z65" s="162"/>
      <c r="AA65" s="162"/>
    </row>
    <row r="66" spans="1:27" ht="13.5" thickBot="1">
      <c r="A66" s="471" t="s">
        <v>138</v>
      </c>
      <c r="C66" s="162"/>
      <c r="E66" s="162"/>
      <c r="G66" s="162"/>
      <c r="H66" s="673"/>
      <c r="I66" s="677">
        <f>+I65/H65</f>
        <v>2.29745179032563</v>
      </c>
      <c r="J66" s="466"/>
      <c r="K66" s="678">
        <f>K65/J65</f>
        <v>1.9093515074299912</v>
      </c>
      <c r="L66" s="466"/>
      <c r="M66" s="678">
        <f>M65/L65</f>
        <v>2.2053429220728766</v>
      </c>
      <c r="N66" s="466"/>
      <c r="O66" s="678">
        <f>O65/N65</f>
        <v>16.95837308624235</v>
      </c>
      <c r="P66" s="466"/>
      <c r="Q66" s="678">
        <f>Q65/P65</f>
        <v>76.47511717666224</v>
      </c>
      <c r="R66" s="466"/>
      <c r="S66" s="481">
        <f>S65/R65</f>
        <v>18.568809821088852</v>
      </c>
      <c r="T66" s="466"/>
      <c r="U66" s="678">
        <f>U65/T65</f>
        <v>0.6461049548338544</v>
      </c>
      <c r="V66" s="466"/>
      <c r="W66" s="481">
        <f>W65/V65</f>
        <v>1.0582437415300106</v>
      </c>
      <c r="X66" s="162"/>
      <c r="Y66" s="162"/>
      <c r="Z66" s="162"/>
      <c r="AA66" s="162"/>
    </row>
    <row r="67" spans="1:27" ht="6.75" customHeight="1">
      <c r="A67" s="162"/>
      <c r="C67" s="162"/>
      <c r="E67" s="162"/>
      <c r="G67" s="162"/>
      <c r="I67" s="162"/>
      <c r="J67" s="466"/>
      <c r="K67" s="466"/>
      <c r="L67" s="466"/>
      <c r="M67" s="466"/>
      <c r="N67" s="466"/>
      <c r="O67" s="466"/>
      <c r="P67" s="466"/>
      <c r="Q67" s="466"/>
      <c r="R67" s="466"/>
      <c r="S67" s="466"/>
      <c r="T67" s="466"/>
      <c r="U67" s="466"/>
      <c r="V67" s="466"/>
      <c r="W67" s="466"/>
      <c r="X67" s="162"/>
      <c r="Y67" s="162"/>
      <c r="Z67" s="162"/>
      <c r="AA67" s="162"/>
    </row>
    <row r="68" spans="1:11" ht="12.75">
      <c r="A68" s="227" t="s">
        <v>624</v>
      </c>
      <c r="K68">
        <f>(+K66+M66+O66+Q66+U66)/5</f>
        <v>19.638857929448264</v>
      </c>
    </row>
    <row r="69" ht="4.5" customHeight="1">
      <c r="A69" s="227"/>
    </row>
    <row r="70" spans="2:27" ht="12.75">
      <c r="B70" s="458" t="s">
        <v>139</v>
      </c>
      <c r="C70" s="459"/>
      <c r="D70" s="459"/>
      <c r="E70" s="459"/>
      <c r="F70" s="459"/>
      <c r="G70" s="459"/>
      <c r="H70" s="459"/>
      <c r="I70" s="460"/>
      <c r="J70" s="756" t="s">
        <v>428</v>
      </c>
      <c r="K70" s="757"/>
      <c r="L70" s="756" t="s">
        <v>428</v>
      </c>
      <c r="M70" s="757"/>
      <c r="N70" s="458" t="s">
        <v>533</v>
      </c>
      <c r="O70" s="459"/>
      <c r="P70" s="459"/>
      <c r="Q70" s="459"/>
      <c r="R70" s="459"/>
      <c r="S70" s="460"/>
      <c r="T70" s="458" t="s">
        <v>117</v>
      </c>
      <c r="U70" s="459"/>
      <c r="V70" s="459"/>
      <c r="W70" s="460"/>
      <c r="X70" s="461" t="s">
        <v>118</v>
      </c>
      <c r="Y70" s="461"/>
      <c r="Z70" s="461"/>
      <c r="AA70" s="461"/>
    </row>
    <row r="71" spans="2:27" ht="12.75">
      <c r="B71" s="458" t="s">
        <v>119</v>
      </c>
      <c r="C71" s="460"/>
      <c r="D71" s="756" t="s">
        <v>120</v>
      </c>
      <c r="E71" s="758"/>
      <c r="F71" s="756" t="s">
        <v>121</v>
      </c>
      <c r="G71" s="758"/>
      <c r="H71" s="756" t="s">
        <v>122</v>
      </c>
      <c r="I71" s="758"/>
      <c r="J71" s="756" t="s">
        <v>119</v>
      </c>
      <c r="K71" s="758"/>
      <c r="L71" s="756" t="s">
        <v>120</v>
      </c>
      <c r="M71" s="758"/>
      <c r="N71" s="458" t="s">
        <v>119</v>
      </c>
      <c r="O71" s="460"/>
      <c r="P71" s="458" t="s">
        <v>123</v>
      </c>
      <c r="Q71" s="460"/>
      <c r="R71" s="458" t="s">
        <v>124</v>
      </c>
      <c r="S71" s="460"/>
      <c r="T71" s="458" t="s">
        <v>123</v>
      </c>
      <c r="U71" s="460"/>
      <c r="V71" s="458" t="s">
        <v>124</v>
      </c>
      <c r="W71" s="460"/>
      <c r="X71" s="462" t="s">
        <v>490</v>
      </c>
      <c r="Y71" s="463" t="s">
        <v>120</v>
      </c>
      <c r="Z71" s="463" t="s">
        <v>119</v>
      </c>
      <c r="AA71" s="463" t="s">
        <v>121</v>
      </c>
    </row>
    <row r="72" spans="2:27" ht="12.75">
      <c r="B72" s="464" t="s">
        <v>125</v>
      </c>
      <c r="C72" s="464" t="s">
        <v>126</v>
      </c>
      <c r="D72" s="464" t="s">
        <v>125</v>
      </c>
      <c r="E72" s="464" t="s">
        <v>126</v>
      </c>
      <c r="F72" s="464" t="s">
        <v>125</v>
      </c>
      <c r="G72" s="464" t="s">
        <v>126</v>
      </c>
      <c r="H72" s="464" t="s">
        <v>125</v>
      </c>
      <c r="I72" s="464" t="s">
        <v>126</v>
      </c>
      <c r="J72" s="464" t="s">
        <v>125</v>
      </c>
      <c r="K72" s="464" t="s">
        <v>126</v>
      </c>
      <c r="L72" s="464" t="s">
        <v>125</v>
      </c>
      <c r="M72" s="464" t="s">
        <v>126</v>
      </c>
      <c r="N72" s="464" t="s">
        <v>125</v>
      </c>
      <c r="O72" s="464" t="s">
        <v>126</v>
      </c>
      <c r="P72" s="464" t="s">
        <v>125</v>
      </c>
      <c r="Q72" s="464" t="s">
        <v>126</v>
      </c>
      <c r="R72" s="464" t="s">
        <v>125</v>
      </c>
      <c r="S72" s="464" t="s">
        <v>126</v>
      </c>
      <c r="T72" s="464" t="s">
        <v>125</v>
      </c>
      <c r="U72" s="464" t="s">
        <v>126</v>
      </c>
      <c r="V72" s="464" t="s">
        <v>125</v>
      </c>
      <c r="W72" s="464" t="s">
        <v>126</v>
      </c>
      <c r="X72" s="464" t="s">
        <v>126</v>
      </c>
      <c r="Y72" s="464" t="s">
        <v>126</v>
      </c>
      <c r="Z72" s="464" t="s">
        <v>126</v>
      </c>
      <c r="AA72" s="464" t="s">
        <v>126</v>
      </c>
    </row>
    <row r="73" spans="1:27" ht="12.75">
      <c r="A73" s="465">
        <v>38718</v>
      </c>
      <c r="B73" s="466">
        <v>1220</v>
      </c>
      <c r="C73" s="162">
        <v>9127.1</v>
      </c>
      <c r="D73" s="466">
        <v>0</v>
      </c>
      <c r="E73" s="162">
        <v>0</v>
      </c>
      <c r="F73" s="466">
        <v>0</v>
      </c>
      <c r="G73" s="162">
        <v>0</v>
      </c>
      <c r="H73" s="466">
        <v>1220</v>
      </c>
      <c r="I73" s="468">
        <f aca="true" t="shared" si="17" ref="I73:I84">C73+E73+G73</f>
        <v>9127.1</v>
      </c>
      <c r="J73" s="467">
        <v>1208</v>
      </c>
      <c r="K73" s="468">
        <f aca="true" t="shared" si="18" ref="K73:K84">K41</f>
        <v>8758.59211030886</v>
      </c>
      <c r="L73" s="468">
        <v>0</v>
      </c>
      <c r="M73" s="468">
        <v>0</v>
      </c>
      <c r="N73">
        <v>12</v>
      </c>
      <c r="O73" s="468">
        <f aca="true" t="shared" si="19" ref="O73:O84">O41</f>
        <v>368.75509307447055</v>
      </c>
      <c r="P73">
        <v>0</v>
      </c>
      <c r="Q73" s="162">
        <v>0</v>
      </c>
      <c r="R73">
        <v>0</v>
      </c>
      <c r="S73" s="162">
        <v>0</v>
      </c>
      <c r="T73">
        <v>0</v>
      </c>
      <c r="U73">
        <v>0</v>
      </c>
      <c r="V73">
        <v>0</v>
      </c>
      <c r="W73">
        <v>0</v>
      </c>
      <c r="X73">
        <v>47.5</v>
      </c>
      <c r="Y73">
        <v>0</v>
      </c>
      <c r="Z73">
        <v>47.5</v>
      </c>
      <c r="AA73">
        <v>0</v>
      </c>
    </row>
    <row r="74" spans="1:27" ht="12.75">
      <c r="A74" s="465">
        <v>38749</v>
      </c>
      <c r="B74" s="466">
        <v>1234</v>
      </c>
      <c r="C74" s="162">
        <v>12321.7</v>
      </c>
      <c r="D74" s="466">
        <v>0</v>
      </c>
      <c r="E74" s="162">
        <v>0</v>
      </c>
      <c r="F74" s="466">
        <v>0</v>
      </c>
      <c r="G74" s="162">
        <v>0</v>
      </c>
      <c r="H74" s="466">
        <v>1234</v>
      </c>
      <c r="I74" s="468">
        <f t="shared" si="17"/>
        <v>12321.7</v>
      </c>
      <c r="J74" s="467">
        <v>1222</v>
      </c>
      <c r="K74" s="468">
        <f t="shared" si="18"/>
        <v>11921.525433178862</v>
      </c>
      <c r="L74" s="468">
        <v>0</v>
      </c>
      <c r="M74" s="468">
        <v>0</v>
      </c>
      <c r="N74">
        <v>12</v>
      </c>
      <c r="O74" s="468">
        <f t="shared" si="19"/>
        <v>400.47754530624826</v>
      </c>
      <c r="P74">
        <v>0</v>
      </c>
      <c r="Q74" s="162">
        <v>0</v>
      </c>
      <c r="R74">
        <v>0</v>
      </c>
      <c r="S74" s="162">
        <v>0</v>
      </c>
      <c r="T74">
        <v>0</v>
      </c>
      <c r="U74">
        <v>0</v>
      </c>
      <c r="V74">
        <v>0</v>
      </c>
      <c r="W74">
        <v>0</v>
      </c>
      <c r="X74">
        <v>61.1</v>
      </c>
      <c r="Y74">
        <v>0</v>
      </c>
      <c r="Z74">
        <v>61.099999999998545</v>
      </c>
      <c r="AA74">
        <v>0</v>
      </c>
    </row>
    <row r="75" spans="1:27" ht="12.75">
      <c r="A75" s="465">
        <v>38777</v>
      </c>
      <c r="B75" s="466">
        <v>1237</v>
      </c>
      <c r="C75" s="162">
        <v>4361.4</v>
      </c>
      <c r="D75" s="466">
        <v>0</v>
      </c>
      <c r="E75" s="162">
        <v>0</v>
      </c>
      <c r="F75" s="466">
        <v>0</v>
      </c>
      <c r="G75" s="162">
        <v>0</v>
      </c>
      <c r="H75" s="466">
        <v>1237</v>
      </c>
      <c r="I75" s="468">
        <f t="shared" si="17"/>
        <v>4361.4</v>
      </c>
      <c r="J75" s="467">
        <v>1225</v>
      </c>
      <c r="K75" s="468">
        <f t="shared" si="18"/>
        <v>4118.333333333334</v>
      </c>
      <c r="L75" s="468">
        <v>0</v>
      </c>
      <c r="M75" s="468">
        <v>0</v>
      </c>
      <c r="N75">
        <v>12</v>
      </c>
      <c r="O75" s="468">
        <f t="shared" si="19"/>
        <v>243.1103315449168</v>
      </c>
      <c r="P75">
        <v>0</v>
      </c>
      <c r="Q75" s="162">
        <v>0</v>
      </c>
      <c r="R75">
        <v>0</v>
      </c>
      <c r="S75" s="162">
        <v>0</v>
      </c>
      <c r="T75">
        <v>0</v>
      </c>
      <c r="U75">
        <v>0</v>
      </c>
      <c r="V75">
        <v>0</v>
      </c>
      <c r="W75">
        <v>0</v>
      </c>
      <c r="X75">
        <v>13.8</v>
      </c>
      <c r="Y75">
        <v>0</v>
      </c>
      <c r="Z75">
        <v>13.800000000000182</v>
      </c>
      <c r="AA75">
        <v>0</v>
      </c>
    </row>
    <row r="76" spans="1:27" ht="12.75">
      <c r="A76" s="465">
        <v>38808</v>
      </c>
      <c r="B76" s="466">
        <v>1265</v>
      </c>
      <c r="C76" s="162">
        <v>4452.2</v>
      </c>
      <c r="D76" s="466">
        <v>0</v>
      </c>
      <c r="E76" s="162">
        <v>0</v>
      </c>
      <c r="F76" s="466">
        <v>0</v>
      </c>
      <c r="G76" s="162">
        <v>0</v>
      </c>
      <c r="H76" s="466">
        <v>1265</v>
      </c>
      <c r="I76" s="468">
        <f t="shared" si="17"/>
        <v>4452.2</v>
      </c>
      <c r="J76" s="467">
        <v>1253</v>
      </c>
      <c r="K76" s="468">
        <f t="shared" si="18"/>
        <v>4149.782579398949</v>
      </c>
      <c r="L76" s="468">
        <v>0</v>
      </c>
      <c r="M76" s="468">
        <v>0</v>
      </c>
      <c r="N76">
        <v>12</v>
      </c>
      <c r="O76" s="468">
        <f t="shared" si="19"/>
        <v>302.61822245182157</v>
      </c>
      <c r="P76">
        <v>0</v>
      </c>
      <c r="Q76" s="162">
        <v>0</v>
      </c>
      <c r="R76">
        <v>0</v>
      </c>
      <c r="S76" s="162">
        <v>0</v>
      </c>
      <c r="T76">
        <v>0</v>
      </c>
      <c r="U76">
        <v>0</v>
      </c>
      <c r="V76">
        <v>0</v>
      </c>
      <c r="W76">
        <v>0</v>
      </c>
      <c r="X76">
        <v>29.9</v>
      </c>
      <c r="Y76">
        <v>0</v>
      </c>
      <c r="Z76">
        <v>29.900000000000546</v>
      </c>
      <c r="AA76">
        <v>0</v>
      </c>
    </row>
    <row r="77" spans="1:27" ht="12.75">
      <c r="A77" s="465">
        <v>38838</v>
      </c>
      <c r="B77" s="466">
        <v>1273</v>
      </c>
      <c r="C77" s="162">
        <v>2727.9</v>
      </c>
      <c r="D77" s="466">
        <v>0</v>
      </c>
      <c r="E77" s="162">
        <v>0</v>
      </c>
      <c r="F77" s="466">
        <v>0</v>
      </c>
      <c r="G77" s="162">
        <v>0</v>
      </c>
      <c r="H77" s="466">
        <v>1273</v>
      </c>
      <c r="I77" s="468">
        <f t="shared" si="17"/>
        <v>2727.9</v>
      </c>
      <c r="J77" s="467">
        <v>1261</v>
      </c>
      <c r="K77" s="468">
        <f t="shared" si="18"/>
        <v>2468.0070053887607</v>
      </c>
      <c r="L77" s="468">
        <v>0</v>
      </c>
      <c r="M77" s="468">
        <v>0</v>
      </c>
      <c r="N77">
        <v>12</v>
      </c>
      <c r="O77" s="468">
        <f t="shared" si="19"/>
        <v>259.9722093918399</v>
      </c>
      <c r="P77">
        <v>0</v>
      </c>
      <c r="Q77" s="162">
        <v>0</v>
      </c>
      <c r="R77">
        <v>0</v>
      </c>
      <c r="S77" s="162">
        <v>0</v>
      </c>
      <c r="T77">
        <v>0</v>
      </c>
      <c r="U77">
        <v>0</v>
      </c>
      <c r="V77">
        <v>0</v>
      </c>
      <c r="W77">
        <v>0</v>
      </c>
      <c r="X77">
        <v>14.7</v>
      </c>
      <c r="Y77">
        <v>0</v>
      </c>
      <c r="Z77">
        <v>14.700000000000273</v>
      </c>
      <c r="AA77">
        <v>0</v>
      </c>
    </row>
    <row r="78" spans="1:27" ht="12.75">
      <c r="A78" s="465">
        <v>38869</v>
      </c>
      <c r="B78" s="466">
        <v>1285</v>
      </c>
      <c r="C78" s="162">
        <v>3092.5</v>
      </c>
      <c r="D78" s="466">
        <v>0</v>
      </c>
      <c r="E78" s="162">
        <v>0</v>
      </c>
      <c r="F78" s="466">
        <v>390</v>
      </c>
      <c r="G78" s="162">
        <v>2451.6</v>
      </c>
      <c r="H78" s="466">
        <v>1675</v>
      </c>
      <c r="I78" s="468">
        <f t="shared" si="17"/>
        <v>5544.1</v>
      </c>
      <c r="J78" s="467">
        <v>1273</v>
      </c>
      <c r="K78" s="468">
        <f t="shared" si="18"/>
        <v>2780.9240452708164</v>
      </c>
      <c r="L78" s="468">
        <v>0</v>
      </c>
      <c r="M78" s="468">
        <v>0</v>
      </c>
      <c r="N78">
        <v>12</v>
      </c>
      <c r="O78" s="468">
        <f t="shared" si="19"/>
        <v>311.82586257073564</v>
      </c>
      <c r="P78">
        <v>9</v>
      </c>
      <c r="Q78" s="162">
        <f aca="true" t="shared" si="20" ref="Q78:Q84">Q46</f>
        <v>836.6311503967997</v>
      </c>
      <c r="R78">
        <v>49</v>
      </c>
      <c r="S78" s="468">
        <f aca="true" t="shared" si="21" ref="S78:S84">S46</f>
        <v>1182.4600877475964</v>
      </c>
      <c r="T78">
        <v>206</v>
      </c>
      <c r="U78" s="468">
        <f aca="true" t="shared" si="22" ref="U78:U84">U46</f>
        <v>187.2357894057681</v>
      </c>
      <c r="V78">
        <v>160</v>
      </c>
      <c r="W78" s="468">
        <f aca="true" t="shared" si="23" ref="W78:W84">W46</f>
        <v>245.27297244983546</v>
      </c>
      <c r="X78">
        <v>30.5</v>
      </c>
      <c r="Y78">
        <v>0</v>
      </c>
      <c r="Z78">
        <v>27.799999999999727</v>
      </c>
      <c r="AA78">
        <v>2.699999999999818</v>
      </c>
    </row>
    <row r="79" spans="1:27" ht="12.75">
      <c r="A79" s="465">
        <v>38899</v>
      </c>
      <c r="B79" s="466">
        <v>1288</v>
      </c>
      <c r="C79" s="162">
        <v>2268.2</v>
      </c>
      <c r="D79" s="466">
        <v>0</v>
      </c>
      <c r="E79" s="162">
        <v>0</v>
      </c>
      <c r="F79" s="466">
        <v>393</v>
      </c>
      <c r="G79" s="162">
        <v>1635.5</v>
      </c>
      <c r="H79" s="466">
        <v>1681</v>
      </c>
      <c r="I79" s="468">
        <f t="shared" si="17"/>
        <v>3903.7</v>
      </c>
      <c r="J79" s="467">
        <v>1276</v>
      </c>
      <c r="K79" s="468">
        <f t="shared" si="18"/>
        <v>2151.259073273962</v>
      </c>
      <c r="L79" s="468">
        <v>0</v>
      </c>
      <c r="M79" s="468">
        <v>0</v>
      </c>
      <c r="N79">
        <v>12</v>
      </c>
      <c r="O79" s="468">
        <f t="shared" si="19"/>
        <v>117.00981394938718</v>
      </c>
      <c r="P79">
        <v>9</v>
      </c>
      <c r="Q79" s="468">
        <f t="shared" si="20"/>
        <v>593.9617502204443</v>
      </c>
      <c r="R79">
        <v>43</v>
      </c>
      <c r="S79" s="468">
        <f t="shared" si="21"/>
        <v>846.1444931931093</v>
      </c>
      <c r="T79">
        <v>198</v>
      </c>
      <c r="U79" s="468">
        <f t="shared" si="22"/>
        <v>80.98654966987117</v>
      </c>
      <c r="V79">
        <v>149</v>
      </c>
      <c r="W79" s="468">
        <f t="shared" si="23"/>
        <v>114.40720691657526</v>
      </c>
      <c r="X79">
        <v>14</v>
      </c>
      <c r="Y79">
        <v>0</v>
      </c>
      <c r="Z79">
        <v>12.5</v>
      </c>
      <c r="AA79">
        <v>1.5</v>
      </c>
    </row>
    <row r="80" spans="1:27" ht="12.75">
      <c r="A80" s="465">
        <v>38930</v>
      </c>
      <c r="B80" s="466">
        <v>1294</v>
      </c>
      <c r="C80" s="162">
        <v>2447.4</v>
      </c>
      <c r="D80" s="466">
        <v>61</v>
      </c>
      <c r="E80" s="162">
        <v>102.1</v>
      </c>
      <c r="F80" s="466">
        <v>388</v>
      </c>
      <c r="G80" s="162">
        <v>1905.4</v>
      </c>
      <c r="H80" s="466">
        <v>1743</v>
      </c>
      <c r="I80" s="468">
        <f t="shared" si="17"/>
        <v>4454.9</v>
      </c>
      <c r="J80" s="467">
        <v>1282</v>
      </c>
      <c r="K80" s="468">
        <f t="shared" si="18"/>
        <v>2322.2277518999754</v>
      </c>
      <c r="L80" s="468">
        <v>61</v>
      </c>
      <c r="M80" s="468">
        <f>M48</f>
        <v>102.1</v>
      </c>
      <c r="N80">
        <v>12</v>
      </c>
      <c r="O80" s="468">
        <f t="shared" si="19"/>
        <v>125.19402222767016</v>
      </c>
      <c r="P80">
        <v>8</v>
      </c>
      <c r="Q80" s="468">
        <f t="shared" si="20"/>
        <v>863.6541002645333</v>
      </c>
      <c r="R80">
        <v>42</v>
      </c>
      <c r="S80" s="468">
        <f t="shared" si="21"/>
        <v>835.7733918317311</v>
      </c>
      <c r="T80">
        <v>196</v>
      </c>
      <c r="U80" s="468">
        <f t="shared" si="22"/>
        <v>86.42385960384543</v>
      </c>
      <c r="V80">
        <v>146</v>
      </c>
      <c r="W80" s="468">
        <f t="shared" si="23"/>
        <v>119.54864829989033</v>
      </c>
      <c r="X80">
        <v>9.1</v>
      </c>
      <c r="Y80">
        <v>0</v>
      </c>
      <c r="Z80">
        <v>7.299999999999727</v>
      </c>
      <c r="AA80">
        <v>1.800000000000182</v>
      </c>
    </row>
    <row r="81" spans="1:27" ht="12.75">
      <c r="A81" s="465">
        <v>38961</v>
      </c>
      <c r="B81" s="466">
        <v>1334</v>
      </c>
      <c r="C81" s="162">
        <v>4172.9</v>
      </c>
      <c r="D81" s="466">
        <v>61</v>
      </c>
      <c r="E81" s="162">
        <v>167.4</v>
      </c>
      <c r="F81" s="466">
        <v>414</v>
      </c>
      <c r="G81" s="162">
        <v>3542.6</v>
      </c>
      <c r="H81" s="466">
        <v>1809</v>
      </c>
      <c r="I81" s="468">
        <f t="shared" si="17"/>
        <v>7882.9</v>
      </c>
      <c r="J81" s="467">
        <v>1322</v>
      </c>
      <c r="K81" s="468">
        <f t="shared" si="18"/>
        <v>3979.050144983106</v>
      </c>
      <c r="L81" s="468">
        <v>61</v>
      </c>
      <c r="M81" s="468">
        <f>M49</f>
        <v>167.4</v>
      </c>
      <c r="N81">
        <v>12</v>
      </c>
      <c r="O81" s="468">
        <f t="shared" si="19"/>
        <v>193.99843514102903</v>
      </c>
      <c r="P81">
        <v>7</v>
      </c>
      <c r="Q81" s="468">
        <f t="shared" si="20"/>
        <v>1351.271051895821</v>
      </c>
      <c r="R81">
        <v>44</v>
      </c>
      <c r="S81" s="468">
        <f t="shared" si="21"/>
        <v>1688.7426414607394</v>
      </c>
      <c r="T81">
        <v>217</v>
      </c>
      <c r="U81" s="468">
        <f t="shared" si="22"/>
        <v>191.40432716089208</v>
      </c>
      <c r="V81">
        <v>144</v>
      </c>
      <c r="W81" s="468">
        <f t="shared" si="23"/>
        <v>311.1819794825472</v>
      </c>
      <c r="X81">
        <v>41</v>
      </c>
      <c r="Y81">
        <v>3.200000000000017</v>
      </c>
      <c r="Z81">
        <v>24.900000000000546</v>
      </c>
      <c r="AA81">
        <v>12.899999999999636</v>
      </c>
    </row>
    <row r="82" spans="1:27" ht="12.75">
      <c r="A82" s="465">
        <v>38991</v>
      </c>
      <c r="B82" s="466">
        <v>1335</v>
      </c>
      <c r="C82" s="162">
        <v>2417.9</v>
      </c>
      <c r="D82" s="466">
        <v>61</v>
      </c>
      <c r="E82" s="162">
        <v>122.5</v>
      </c>
      <c r="F82" s="466">
        <v>415</v>
      </c>
      <c r="G82" s="162">
        <v>1676.2</v>
      </c>
      <c r="H82" s="466">
        <v>1811</v>
      </c>
      <c r="I82" s="468">
        <f t="shared" si="17"/>
        <v>4216.6</v>
      </c>
      <c r="J82" s="467">
        <v>1323</v>
      </c>
      <c r="K82" s="468">
        <f t="shared" si="18"/>
        <v>2323.8899954505973</v>
      </c>
      <c r="L82" s="468">
        <v>61</v>
      </c>
      <c r="M82" s="468">
        <f>M50</f>
        <v>122.5</v>
      </c>
      <c r="N82">
        <v>12</v>
      </c>
      <c r="O82" s="468">
        <f t="shared" si="19"/>
        <v>94.15002688283221</v>
      </c>
      <c r="P82">
        <v>6</v>
      </c>
      <c r="Q82" s="468">
        <f t="shared" si="20"/>
        <v>566.4634019399101</v>
      </c>
      <c r="R82">
        <v>43</v>
      </c>
      <c r="S82" s="468">
        <f t="shared" si="21"/>
        <v>818.9715400993612</v>
      </c>
      <c r="T82">
        <v>233</v>
      </c>
      <c r="U82" s="468">
        <f t="shared" si="22"/>
        <v>136.04163709486633</v>
      </c>
      <c r="V82">
        <v>141</v>
      </c>
      <c r="W82" s="468">
        <f t="shared" si="23"/>
        <v>154.72342086586232</v>
      </c>
      <c r="X82">
        <v>31.6</v>
      </c>
      <c r="Y82">
        <v>0</v>
      </c>
      <c r="Z82">
        <v>18.40000000000009</v>
      </c>
      <c r="AA82">
        <v>13.2</v>
      </c>
    </row>
    <row r="83" spans="1:27" ht="12.75">
      <c r="A83" s="465">
        <v>39022</v>
      </c>
      <c r="B83" s="466">
        <v>1353</v>
      </c>
      <c r="C83" s="162">
        <v>8591.9</v>
      </c>
      <c r="D83" s="466">
        <v>60</v>
      </c>
      <c r="E83" s="162">
        <v>585</v>
      </c>
      <c r="F83" s="466">
        <v>422</v>
      </c>
      <c r="G83" s="162">
        <v>2532.9</v>
      </c>
      <c r="H83" s="466">
        <v>1835</v>
      </c>
      <c r="I83" s="468">
        <f t="shared" si="17"/>
        <v>11709.8</v>
      </c>
      <c r="J83" s="467">
        <v>1341</v>
      </c>
      <c r="K83" s="468">
        <f t="shared" si="18"/>
        <v>8376.588322722564</v>
      </c>
      <c r="L83" s="468">
        <v>60</v>
      </c>
      <c r="M83" s="468">
        <f>M51</f>
        <v>585</v>
      </c>
      <c r="N83">
        <v>12</v>
      </c>
      <c r="O83" s="468">
        <f t="shared" si="19"/>
        <v>216.15456534643087</v>
      </c>
      <c r="P83">
        <v>6</v>
      </c>
      <c r="Q83" s="468">
        <f t="shared" si="20"/>
        <v>617.4995074951072</v>
      </c>
      <c r="R83">
        <v>43</v>
      </c>
      <c r="S83" s="468">
        <f t="shared" si="21"/>
        <v>1070.812768565714</v>
      </c>
      <c r="T83">
        <v>229</v>
      </c>
      <c r="U83" s="468">
        <f t="shared" si="22"/>
        <v>444.14268877561994</v>
      </c>
      <c r="V83">
        <v>141</v>
      </c>
      <c r="W83" s="468">
        <f t="shared" si="23"/>
        <v>400.44503516355894</v>
      </c>
      <c r="X83">
        <v>136.1</v>
      </c>
      <c r="Y83">
        <v>0</v>
      </c>
      <c r="Z83">
        <v>85.09999999999854</v>
      </c>
      <c r="AA83">
        <v>51</v>
      </c>
    </row>
    <row r="84" spans="1:27" ht="12.75">
      <c r="A84" s="465">
        <v>39052</v>
      </c>
      <c r="B84" s="466">
        <v>1382</v>
      </c>
      <c r="C84" s="162">
        <v>13260.3</v>
      </c>
      <c r="D84" s="466">
        <v>60</v>
      </c>
      <c r="E84" s="162">
        <v>688.1</v>
      </c>
      <c r="F84" s="466">
        <v>419</v>
      </c>
      <c r="G84" s="162">
        <v>4409.1</v>
      </c>
      <c r="H84" s="466">
        <v>1861</v>
      </c>
      <c r="I84" s="468">
        <f t="shared" si="17"/>
        <v>18357.5</v>
      </c>
      <c r="J84" s="467">
        <v>1370</v>
      </c>
      <c r="K84" s="468">
        <f t="shared" si="18"/>
        <v>13043.816363883172</v>
      </c>
      <c r="L84" s="468">
        <v>60</v>
      </c>
      <c r="M84" s="468">
        <f>M52</f>
        <v>688.1</v>
      </c>
      <c r="N84">
        <v>12</v>
      </c>
      <c r="O84" s="468">
        <f t="shared" si="19"/>
        <v>216.88441211737296</v>
      </c>
      <c r="P84">
        <v>6</v>
      </c>
      <c r="Q84" s="468">
        <f t="shared" si="20"/>
        <v>931.1592389473158</v>
      </c>
      <c r="R84">
        <v>43</v>
      </c>
      <c r="S84" s="468">
        <f t="shared" si="21"/>
        <v>1629.4130933178487</v>
      </c>
      <c r="T84">
        <v>231</v>
      </c>
      <c r="U84" s="468">
        <f t="shared" si="22"/>
        <v>891.350798259386</v>
      </c>
      <c r="V84">
        <v>140</v>
      </c>
      <c r="W84" s="468">
        <f t="shared" si="23"/>
        <v>957.1768694754501</v>
      </c>
      <c r="X84">
        <v>115.3</v>
      </c>
      <c r="Y84">
        <v>4.2000000000000455</v>
      </c>
      <c r="Z84">
        <v>72.90000000000146</v>
      </c>
      <c r="AA84">
        <v>38.20000000000073</v>
      </c>
    </row>
    <row r="85" ht="5.25" customHeight="1"/>
    <row r="86" spans="1:27" ht="12.75">
      <c r="A86" s="162">
        <f>K86+M86+O86+Q86+S86+U86+W86</f>
        <v>89062.54669909773</v>
      </c>
      <c r="C86" s="162">
        <f>SUM(C73:C84)</f>
        <v>69241.40000000001</v>
      </c>
      <c r="E86" s="162">
        <f>SUM(E73:E84)</f>
        <v>1665.1</v>
      </c>
      <c r="G86" s="162">
        <f>SUM(G73:G84)</f>
        <v>18153.300000000003</v>
      </c>
      <c r="I86" s="162">
        <f>SUM(I73:I84)</f>
        <v>89059.8</v>
      </c>
      <c r="J86" s="162"/>
      <c r="K86" s="162">
        <f>SUM(K73:K84)</f>
        <v>66393.99615909296</v>
      </c>
      <c r="L86" s="162"/>
      <c r="M86" s="162">
        <f>SUM(M73:M84)</f>
        <v>1665.1</v>
      </c>
      <c r="O86" s="162">
        <f>SUM(O73:O84)</f>
        <v>2850.150540004755</v>
      </c>
      <c r="Q86" s="162">
        <f>SUM(Q73:Q84)</f>
        <v>5760.640201159931</v>
      </c>
      <c r="S86" s="162">
        <f>SUM(S73:S84)</f>
        <v>8072.318016216099</v>
      </c>
      <c r="U86" s="162">
        <f>SUM(U73:U84)</f>
        <v>2017.585649970249</v>
      </c>
      <c r="W86" s="162">
        <f>SUM(W73:W84)</f>
        <v>2302.7561326537198</v>
      </c>
      <c r="X86" s="162">
        <f>SUM(X73:X84)</f>
        <v>544.5999999999999</v>
      </c>
      <c r="Y86" s="162">
        <f>SUM(Y73:Y84)</f>
        <v>7.4000000000000625</v>
      </c>
      <c r="Z86" s="162">
        <f>SUM(Z73:Z84)</f>
        <v>415.89999999999964</v>
      </c>
      <c r="AA86" s="162">
        <f>SUM(AA73:AA84)</f>
        <v>121.30000000000037</v>
      </c>
    </row>
    <row r="87" ht="12.75">
      <c r="A87" s="2"/>
    </row>
    <row r="88" ht="12.75">
      <c r="A88" s="55" t="s">
        <v>439</v>
      </c>
    </row>
    <row r="89" ht="12.75">
      <c r="A89" s="55"/>
    </row>
    <row r="90" ht="12.75">
      <c r="A90" s="55"/>
    </row>
    <row r="91" ht="12.75">
      <c r="A91" s="2"/>
    </row>
    <row r="92" ht="12.75">
      <c r="A92" s="55" t="s">
        <v>439</v>
      </c>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sheetData>
  <mergeCells count="20">
    <mergeCell ref="D8:E8"/>
    <mergeCell ref="F8:G8"/>
    <mergeCell ref="H8:I8"/>
    <mergeCell ref="F39:G39"/>
    <mergeCell ref="H39:I39"/>
    <mergeCell ref="J7:K7"/>
    <mergeCell ref="J8:K8"/>
    <mergeCell ref="L7:M7"/>
    <mergeCell ref="L8:M8"/>
    <mergeCell ref="J38:K38"/>
    <mergeCell ref="L38:M38"/>
    <mergeCell ref="J39:K39"/>
    <mergeCell ref="L39:M39"/>
    <mergeCell ref="J70:K70"/>
    <mergeCell ref="L70:M70"/>
    <mergeCell ref="D71:E71"/>
    <mergeCell ref="F71:G71"/>
    <mergeCell ref="H71:I71"/>
    <mergeCell ref="J71:K71"/>
    <mergeCell ref="L71:M71"/>
  </mergeCells>
  <printOptions/>
  <pageMargins left="0.22" right="0.18" top="0.28" bottom="0.27" header="0.18" footer="0.28"/>
  <pageSetup orientation="landscape" scale="53" r:id="rId1"/>
  <headerFooter alignWithMargins="0">
    <oddHeader>&amp;C&amp;"Arial,Bold"&amp;A</oddHeader>
  </headerFooter>
</worksheet>
</file>

<file path=xl/worksheets/sheet25.xml><?xml version="1.0" encoding="utf-8"?>
<worksheet xmlns="http://schemas.openxmlformats.org/spreadsheetml/2006/main" xmlns:r="http://schemas.openxmlformats.org/officeDocument/2006/relationships">
  <sheetPr codeName="Sheet25">
    <tabColor indexed="43"/>
    <pageSetUpPr fitToPage="1"/>
  </sheetPr>
  <dimension ref="A4:K58"/>
  <sheetViews>
    <sheetView zoomScale="75" zoomScaleNormal="75" workbookViewId="0" topLeftCell="A4">
      <selection activeCell="C7" sqref="C7"/>
    </sheetView>
  </sheetViews>
  <sheetFormatPr defaultColWidth="9.140625" defaultRowHeight="12.75"/>
  <cols>
    <col min="3" max="3" width="15.57421875" style="0" customWidth="1"/>
    <col min="5" max="5" width="11.00390625" style="0" customWidth="1"/>
    <col min="6" max="6" width="13.140625" style="0" customWidth="1"/>
  </cols>
  <sheetData>
    <row r="3" ht="13.5" thickBot="1"/>
    <row r="4" ht="13.5" thickBot="1">
      <c r="A4" s="517" t="s">
        <v>50</v>
      </c>
    </row>
    <row r="6" spans="1:11" ht="39" customHeight="1">
      <c r="A6" s="759" t="s">
        <v>642</v>
      </c>
      <c r="B6" s="760"/>
      <c r="C6" s="760"/>
      <c r="D6" s="760"/>
      <c r="E6" s="760"/>
      <c r="F6" s="760"/>
      <c r="G6" s="760"/>
      <c r="H6" s="760"/>
      <c r="I6" s="760"/>
      <c r="J6" s="760"/>
      <c r="K6" s="760"/>
    </row>
    <row r="8" spans="1:11" ht="12.75">
      <c r="A8" s="462" t="s">
        <v>643</v>
      </c>
      <c r="B8" s="462" t="s">
        <v>644</v>
      </c>
      <c r="C8" s="462" t="s">
        <v>645</v>
      </c>
      <c r="D8" s="462" t="s">
        <v>646</v>
      </c>
      <c r="E8" s="462" t="s">
        <v>647</v>
      </c>
      <c r="F8" s="462" t="s">
        <v>648</v>
      </c>
      <c r="G8" s="462" t="s">
        <v>649</v>
      </c>
      <c r="H8" s="462" t="s">
        <v>650</v>
      </c>
      <c r="I8" s="462" t="s">
        <v>651</v>
      </c>
      <c r="J8" s="462" t="s">
        <v>652</v>
      </c>
      <c r="K8" s="462" t="s">
        <v>490</v>
      </c>
    </row>
    <row r="9" spans="1:11" ht="12.75">
      <c r="A9">
        <v>2006</v>
      </c>
      <c r="B9">
        <v>291</v>
      </c>
      <c r="C9">
        <v>374</v>
      </c>
      <c r="D9">
        <v>126</v>
      </c>
      <c r="E9">
        <v>12</v>
      </c>
      <c r="F9">
        <v>0</v>
      </c>
      <c r="G9">
        <v>0</v>
      </c>
      <c r="H9">
        <v>53</v>
      </c>
      <c r="I9">
        <v>149</v>
      </c>
      <c r="J9">
        <v>380</v>
      </c>
      <c r="K9">
        <f>SUM(B9:J9)</f>
        <v>1385</v>
      </c>
    </row>
    <row r="10" spans="1:11" ht="12.75">
      <c r="A10">
        <v>2005</v>
      </c>
      <c r="B10">
        <v>347</v>
      </c>
      <c r="C10">
        <v>270</v>
      </c>
      <c r="D10">
        <v>189</v>
      </c>
      <c r="E10">
        <v>39</v>
      </c>
      <c r="F10">
        <v>0</v>
      </c>
      <c r="G10">
        <v>0</v>
      </c>
      <c r="H10">
        <v>41</v>
      </c>
      <c r="I10">
        <v>157</v>
      </c>
      <c r="J10">
        <v>465</v>
      </c>
      <c r="K10">
        <f aca="true" t="shared" si="0" ref="K10:K18">SUM(B10:J10)</f>
        <v>1508</v>
      </c>
    </row>
    <row r="11" spans="1:11" ht="12.75">
      <c r="A11">
        <v>2004</v>
      </c>
      <c r="B11">
        <v>342</v>
      </c>
      <c r="C11">
        <v>411</v>
      </c>
      <c r="D11">
        <v>39</v>
      </c>
      <c r="E11">
        <v>42</v>
      </c>
      <c r="F11">
        <v>0</v>
      </c>
      <c r="G11">
        <v>0</v>
      </c>
      <c r="H11">
        <v>6</v>
      </c>
      <c r="I11">
        <v>108</v>
      </c>
      <c r="J11">
        <v>421</v>
      </c>
      <c r="K11">
        <f t="shared" si="0"/>
        <v>1369</v>
      </c>
    </row>
    <row r="12" spans="1:11" ht="12.75">
      <c r="A12">
        <v>2003</v>
      </c>
      <c r="B12">
        <v>487</v>
      </c>
      <c r="C12">
        <v>357</v>
      </c>
      <c r="D12">
        <v>193</v>
      </c>
      <c r="E12">
        <v>27</v>
      </c>
      <c r="F12">
        <v>0</v>
      </c>
      <c r="G12">
        <v>0</v>
      </c>
      <c r="H12">
        <v>34</v>
      </c>
      <c r="I12">
        <v>141</v>
      </c>
      <c r="J12">
        <v>352</v>
      </c>
      <c r="K12">
        <f t="shared" si="0"/>
        <v>1591</v>
      </c>
    </row>
    <row r="13" spans="1:11" ht="12.75">
      <c r="A13">
        <v>2002</v>
      </c>
      <c r="B13">
        <v>335</v>
      </c>
      <c r="C13">
        <v>369</v>
      </c>
      <c r="D13">
        <v>202</v>
      </c>
      <c r="E13">
        <v>11</v>
      </c>
      <c r="F13">
        <v>0</v>
      </c>
      <c r="G13">
        <v>0</v>
      </c>
      <c r="H13">
        <v>15</v>
      </c>
      <c r="I13">
        <v>282</v>
      </c>
      <c r="J13">
        <v>374</v>
      </c>
      <c r="K13">
        <f t="shared" si="0"/>
        <v>1588</v>
      </c>
    </row>
    <row r="14" spans="1:11" ht="12.75">
      <c r="A14">
        <v>2001</v>
      </c>
      <c r="B14">
        <v>531</v>
      </c>
      <c r="C14">
        <v>280</v>
      </c>
      <c r="D14">
        <v>246</v>
      </c>
      <c r="E14">
        <v>10</v>
      </c>
      <c r="F14">
        <v>0</v>
      </c>
      <c r="G14">
        <v>1</v>
      </c>
      <c r="H14">
        <v>57</v>
      </c>
      <c r="I14">
        <v>102</v>
      </c>
      <c r="J14">
        <v>342</v>
      </c>
      <c r="K14">
        <f t="shared" si="0"/>
        <v>1569</v>
      </c>
    </row>
    <row r="15" spans="1:11" ht="12.75">
      <c r="A15">
        <v>2000</v>
      </c>
      <c r="B15">
        <v>314</v>
      </c>
      <c r="C15">
        <v>145</v>
      </c>
      <c r="D15">
        <v>67</v>
      </c>
      <c r="E15">
        <v>23</v>
      </c>
      <c r="F15">
        <v>0</v>
      </c>
      <c r="G15">
        <v>3</v>
      </c>
      <c r="H15">
        <v>36</v>
      </c>
      <c r="I15">
        <v>280</v>
      </c>
      <c r="J15">
        <v>553</v>
      </c>
      <c r="K15">
        <f t="shared" si="0"/>
        <v>1421</v>
      </c>
    </row>
    <row r="16" spans="1:11" ht="12.75">
      <c r="A16">
        <v>1999</v>
      </c>
      <c r="B16">
        <v>262</v>
      </c>
      <c r="C16">
        <v>114</v>
      </c>
      <c r="D16">
        <v>115</v>
      </c>
      <c r="E16">
        <v>25</v>
      </c>
      <c r="F16">
        <v>0</v>
      </c>
      <c r="G16">
        <v>1</v>
      </c>
      <c r="H16">
        <v>40</v>
      </c>
      <c r="I16">
        <v>106</v>
      </c>
      <c r="J16">
        <v>395</v>
      </c>
      <c r="K16">
        <f t="shared" si="0"/>
        <v>1058</v>
      </c>
    </row>
    <row r="17" spans="1:11" ht="12.75">
      <c r="A17">
        <v>1998</v>
      </c>
      <c r="B17">
        <v>308</v>
      </c>
      <c r="C17">
        <v>313</v>
      </c>
      <c r="D17">
        <v>218</v>
      </c>
      <c r="E17">
        <v>37</v>
      </c>
      <c r="F17">
        <v>0</v>
      </c>
      <c r="G17">
        <v>0</v>
      </c>
      <c r="H17">
        <v>12</v>
      </c>
      <c r="I17">
        <v>113</v>
      </c>
      <c r="J17">
        <v>371</v>
      </c>
      <c r="K17">
        <f t="shared" si="0"/>
        <v>1372</v>
      </c>
    </row>
    <row r="18" spans="1:11" ht="12.75">
      <c r="A18">
        <v>1997</v>
      </c>
      <c r="B18">
        <v>510</v>
      </c>
      <c r="C18">
        <v>322</v>
      </c>
      <c r="D18">
        <v>104</v>
      </c>
      <c r="E18">
        <v>103</v>
      </c>
      <c r="F18">
        <v>0</v>
      </c>
      <c r="G18">
        <v>0</v>
      </c>
      <c r="H18">
        <v>47</v>
      </c>
      <c r="I18">
        <v>287</v>
      </c>
      <c r="J18">
        <v>488</v>
      </c>
      <c r="K18">
        <f t="shared" si="0"/>
        <v>1861</v>
      </c>
    </row>
    <row r="19" spans="1:11" ht="12.75">
      <c r="A19" s="462" t="s">
        <v>653</v>
      </c>
      <c r="B19" s="466">
        <f>AVERAGE(B9:B18)</f>
        <v>372.7</v>
      </c>
      <c r="C19" s="466">
        <f aca="true" t="shared" si="1" ref="C19:J19">AVERAGE(C9:C18)</f>
        <v>295.5</v>
      </c>
      <c r="D19" s="466">
        <f t="shared" si="1"/>
        <v>149.9</v>
      </c>
      <c r="E19" s="466">
        <f t="shared" si="1"/>
        <v>32.9</v>
      </c>
      <c r="F19" s="466">
        <f t="shared" si="1"/>
        <v>0</v>
      </c>
      <c r="G19" s="466">
        <f t="shared" si="1"/>
        <v>0.5</v>
      </c>
      <c r="H19" s="466">
        <f t="shared" si="1"/>
        <v>34.1</v>
      </c>
      <c r="I19" s="466">
        <f t="shared" si="1"/>
        <v>172.5</v>
      </c>
      <c r="J19" s="466">
        <f t="shared" si="1"/>
        <v>414.1</v>
      </c>
      <c r="K19" s="466">
        <f>AVERAGE(K9:K18)</f>
        <v>1472.2</v>
      </c>
    </row>
    <row r="21" ht="12.75">
      <c r="B21" t="s">
        <v>654</v>
      </c>
    </row>
    <row r="22" ht="13.5" thickBot="1"/>
    <row r="23" spans="4:6" ht="12.75">
      <c r="D23" s="515" t="s">
        <v>511</v>
      </c>
      <c r="E23" s="511"/>
      <c r="F23" s="519">
        <f>+K9</f>
        <v>1385</v>
      </c>
    </row>
    <row r="24" spans="4:6" ht="12.75">
      <c r="D24" s="516" t="s">
        <v>655</v>
      </c>
      <c r="E24" s="143"/>
      <c r="F24" s="520">
        <v>1472</v>
      </c>
    </row>
    <row r="25" spans="4:6" ht="12.75">
      <c r="D25" s="516" t="s">
        <v>51</v>
      </c>
      <c r="E25" s="143"/>
      <c r="F25" s="680">
        <f>($F$24/$F$23-1)</f>
        <v>0.0628158844765343</v>
      </c>
    </row>
    <row r="26" spans="4:6" ht="12.75">
      <c r="D26" s="672" t="s">
        <v>641</v>
      </c>
      <c r="E26" s="143"/>
      <c r="F26" s="674">
        <f>+'WP1 Sch D-1'!I66</f>
        <v>2.29745179032563</v>
      </c>
    </row>
    <row r="27" spans="4:6" ht="13.5" thickBot="1">
      <c r="D27" s="512"/>
      <c r="E27" s="143"/>
      <c r="F27" s="513"/>
    </row>
    <row r="28" spans="4:6" ht="13.5" thickBot="1">
      <c r="D28" s="525" t="s">
        <v>466</v>
      </c>
      <c r="E28" s="526" t="s">
        <v>52</v>
      </c>
      <c r="F28" s="527" t="s">
        <v>467</v>
      </c>
    </row>
    <row r="29" spans="1:6" ht="12.75">
      <c r="A29" s="186" t="s">
        <v>608</v>
      </c>
      <c r="D29" s="521">
        <f>('Schedule D-1'!E14+'Schedule D-1'!G14+'Schedule D-1'!I14)*D30</f>
        <v>3859.719007747058</v>
      </c>
      <c r="E29" s="522">
        <f>('Schedule D-1'!E13+'Schedule D-1'!G13+'Schedule D-1'!I13)-D29</f>
        <v>195.99366532895465</v>
      </c>
      <c r="F29" s="520">
        <f>E29*$F$25</f>
        <v>12.31151543943614</v>
      </c>
    </row>
    <row r="30" spans="1:6" ht="12.75">
      <c r="A30" s="186"/>
      <c r="D30" s="679">
        <f>+F26</f>
        <v>2.29745179032563</v>
      </c>
      <c r="E30" s="522"/>
      <c r="F30" s="520"/>
    </row>
    <row r="31" spans="1:6" ht="5.25" customHeight="1">
      <c r="A31" s="186"/>
      <c r="D31" s="521"/>
      <c r="E31" s="522"/>
      <c r="F31" s="520"/>
    </row>
    <row r="32" spans="1:6" ht="4.5" customHeight="1">
      <c r="A32" s="186"/>
      <c r="D32" s="521"/>
      <c r="E32" s="522"/>
      <c r="F32" s="520"/>
    </row>
    <row r="33" spans="1:6" ht="12.75">
      <c r="A33" s="186" t="s">
        <v>609</v>
      </c>
      <c r="D33" s="521">
        <f>('Schedule D-1'!E18+'Schedule D-1'!G18+'Schedule D-1'!I18)*D34</f>
        <v>37770.10743295336</v>
      </c>
      <c r="E33" s="522">
        <f>('Schedule D-1'!E17+'Schedule D-1'!G17+'Schedule D-1'!I17)-D33</f>
        <v>33311.1047261396</v>
      </c>
      <c r="F33" s="520">
        <f>E33*$F$25</f>
        <v>2092.466506262921</v>
      </c>
    </row>
    <row r="34" spans="1:6" ht="12.75">
      <c r="A34" s="186"/>
      <c r="D34" s="654">
        <f>+D30</f>
        <v>2.29745179032563</v>
      </c>
      <c r="E34" s="522"/>
      <c r="F34" s="520"/>
    </row>
    <row r="35" spans="1:6" ht="5.25" customHeight="1">
      <c r="A35" s="186"/>
      <c r="D35" s="521"/>
      <c r="E35" s="522"/>
      <c r="F35" s="520"/>
    </row>
    <row r="36" spans="1:6" ht="4.5" customHeight="1">
      <c r="A36" s="186"/>
      <c r="D36" s="521"/>
      <c r="E36" s="522"/>
      <c r="F36" s="520"/>
    </row>
    <row r="37" spans="1:6" ht="12.75">
      <c r="A37" s="186" t="s">
        <v>610</v>
      </c>
      <c r="D37" s="521">
        <f>('Schedule D-1'!E22+'Schedule D-1'!G22+'Schedule D-1'!I22)*D38</f>
        <v>1654.1652890344535</v>
      </c>
      <c r="E37" s="522">
        <f>('Schedule D-1'!E21+'Schedule D-1'!G21+'Schedule D-1'!I21)-D37</f>
        <v>2034.4589997025005</v>
      </c>
      <c r="F37" s="520">
        <f>E37*$F$25</f>
        <v>127.7963414975578</v>
      </c>
    </row>
    <row r="38" spans="1:6" ht="12.75">
      <c r="A38" s="186"/>
      <c r="D38" s="679">
        <f>+D34</f>
        <v>2.29745179032563</v>
      </c>
      <c r="E38" s="522"/>
      <c r="F38" s="520"/>
    </row>
    <row r="39" spans="1:6" ht="4.5" customHeight="1">
      <c r="A39" s="186"/>
      <c r="D39" s="521"/>
      <c r="E39" s="522"/>
      <c r="F39" s="520"/>
    </row>
    <row r="40" spans="1:6" ht="5.25" customHeight="1">
      <c r="A40" s="186"/>
      <c r="D40" s="521"/>
      <c r="E40" s="522"/>
      <c r="F40" s="520"/>
    </row>
    <row r="41" spans="1:6" ht="12.75">
      <c r="A41" s="186" t="s">
        <v>611</v>
      </c>
      <c r="D41" s="521">
        <f>('Schedule D-1'!E26+'Schedule D-1'!G26+'Schedule D-1'!I26)*D42</f>
        <v>6368.536362782646</v>
      </c>
      <c r="E41" s="522">
        <f>('Schedule D-1'!E25+'Schedule D-1'!G25+'Schedule D-1'!I25)-D41</f>
        <v>-1956.8896985799029</v>
      </c>
      <c r="F41" s="520">
        <f>E41*$F$25</f>
        <v>-122.92375723931521</v>
      </c>
    </row>
    <row r="42" spans="1:6" ht="12.75">
      <c r="A42" s="186"/>
      <c r="D42" s="679">
        <f>+D38</f>
        <v>2.29745179032563</v>
      </c>
      <c r="E42" s="522"/>
      <c r="F42" s="520"/>
    </row>
    <row r="43" spans="1:6" ht="4.5" customHeight="1">
      <c r="A43" s="186"/>
      <c r="D43" s="521"/>
      <c r="E43" s="522"/>
      <c r="F43" s="520"/>
    </row>
    <row r="44" spans="1:6" ht="5.25" customHeight="1">
      <c r="A44" s="186"/>
      <c r="D44" s="521"/>
      <c r="E44" s="522"/>
      <c r="F44" s="520"/>
    </row>
    <row r="45" spans="1:6" ht="12.75">
      <c r="A45" s="186" t="s">
        <v>612</v>
      </c>
      <c r="D45" s="521">
        <f>('Schedule D-1'!E30+'Schedule D-1'!G30+'Schedule D-1'!I30)*D46</f>
        <v>1185.485123808025</v>
      </c>
      <c r="E45" s="522">
        <f>('Schedule D-1'!E29+'Schedule D-1'!G29+'Schedule D-1'!I29)-D45</f>
        <v>12446.10543267844</v>
      </c>
      <c r="F45" s="520">
        <f>E45*$F$25</f>
        <v>781.8131210418949</v>
      </c>
    </row>
    <row r="46" spans="1:6" ht="12.75">
      <c r="A46" s="186"/>
      <c r="D46" s="679">
        <f>+D42</f>
        <v>2.29745179032563</v>
      </c>
      <c r="E46" s="522"/>
      <c r="F46" s="520"/>
    </row>
    <row r="47" spans="1:6" ht="5.25" customHeight="1">
      <c r="A47" s="186"/>
      <c r="D47" s="521"/>
      <c r="E47" s="522"/>
      <c r="F47" s="520"/>
    </row>
    <row r="48" spans="1:6" ht="5.25" customHeight="1">
      <c r="A48" s="186"/>
      <c r="D48" s="521"/>
      <c r="E48" s="522"/>
      <c r="F48" s="520"/>
    </row>
    <row r="49" spans="1:6" ht="12.75">
      <c r="A49" s="186" t="s">
        <v>613</v>
      </c>
      <c r="D49" s="521">
        <f>('Schedule D-1'!E34+'Schedule D-1'!G34+'Schedule D-1'!I34)*D50</f>
        <v>330.83305780689074</v>
      </c>
      <c r="E49" s="522">
        <f>('Schedule D-1'!E33+'Schedule D-1'!G33+'Schedule D-1'!I33)-D49</f>
        <v>2519.317482197864</v>
      </c>
      <c r="F49" s="520">
        <f>E49*$F$25</f>
        <v>158.2531559214543</v>
      </c>
    </row>
    <row r="50" spans="1:6" ht="12.75">
      <c r="A50" s="186"/>
      <c r="D50" s="521">
        <f>+D46</f>
        <v>2.29745179032563</v>
      </c>
      <c r="E50" s="522"/>
      <c r="F50" s="520"/>
    </row>
    <row r="51" spans="1:6" ht="5.25" customHeight="1">
      <c r="A51" s="186"/>
      <c r="D51" s="521"/>
      <c r="E51" s="522"/>
      <c r="F51" s="520"/>
    </row>
    <row r="52" spans="1:6" ht="4.5" customHeight="1">
      <c r="A52" s="186"/>
      <c r="D52" s="521"/>
      <c r="E52" s="522"/>
      <c r="F52" s="520"/>
    </row>
    <row r="53" spans="1:6" ht="12.75">
      <c r="A53" s="186" t="s">
        <v>614</v>
      </c>
      <c r="D53" s="521">
        <f>('Schedule D-1'!E38+'Schedule D-1'!G38+'Schedule D-1'!I38)*D54</f>
        <v>165.41652890344537</v>
      </c>
      <c r="E53" s="522">
        <f>('Schedule D-1'!E37+'Schedule D-1'!G37+'Schedule D-1'!I37)-D53</f>
        <v>7660.691669440213</v>
      </c>
      <c r="F53" s="520">
        <f>E53*$F$25</f>
        <v>481.21312291790514</v>
      </c>
    </row>
    <row r="54" spans="1:6" ht="12.75">
      <c r="A54" s="1"/>
      <c r="D54" s="679">
        <f>+D50</f>
        <v>2.29745179032563</v>
      </c>
      <c r="E54" s="522"/>
      <c r="F54" s="520"/>
    </row>
    <row r="55" spans="1:6" ht="4.5" customHeight="1" thickBot="1">
      <c r="A55" s="1"/>
      <c r="D55" s="563"/>
      <c r="E55" s="523"/>
      <c r="F55" s="524"/>
    </row>
    <row r="56" spans="4:6" ht="13.5" thickBot="1">
      <c r="D56" s="514"/>
      <c r="E56" s="523">
        <f>SUM(E25:E55)</f>
        <v>56210.782276907674</v>
      </c>
      <c r="F56" s="524">
        <f>SUM(F29:F55)</f>
        <v>3530.930005841855</v>
      </c>
    </row>
    <row r="58" spans="4:6" ht="12.75">
      <c r="D58" t="s">
        <v>656</v>
      </c>
      <c r="F58" s="681">
        <f>+F56/('Schedule D-1'!O41-'Schedule D-1'!K41)</f>
        <v>0.03283210308031523</v>
      </c>
    </row>
  </sheetData>
  <mergeCells count="1">
    <mergeCell ref="A6:K6"/>
  </mergeCells>
  <printOptions horizontalCentered="1"/>
  <pageMargins left="0.75" right="0.75" top="0.44" bottom="0.48" header="0.18" footer="0.5"/>
  <pageSetup fitToHeight="1" fitToWidth="1" horizontalDpi="600" verticalDpi="600" orientation="portrait" scale="80" r:id="rId1"/>
  <headerFooter alignWithMargins="0">
    <oddHeader>&amp;C&amp;"Arial,Bold"&amp;A</oddHeader>
    <oddFooter>&amp;CMay through August average rates used as base for normalization</oddFooter>
  </headerFooter>
</worksheet>
</file>

<file path=xl/worksheets/sheet3.xml><?xml version="1.0" encoding="utf-8"?>
<worksheet xmlns="http://schemas.openxmlformats.org/spreadsheetml/2006/main" xmlns:r="http://schemas.openxmlformats.org/officeDocument/2006/relationships">
  <sheetPr codeName="Sheet3">
    <tabColor indexed="40"/>
    <pageSetUpPr fitToPage="1"/>
  </sheetPr>
  <dimension ref="A1:U44"/>
  <sheetViews>
    <sheetView zoomScale="75" zoomScaleNormal="75" workbookViewId="0" topLeftCell="A1">
      <selection activeCell="O9" sqref="O9"/>
    </sheetView>
  </sheetViews>
  <sheetFormatPr defaultColWidth="9.140625" defaultRowHeight="12.75"/>
  <cols>
    <col min="1" max="1" width="5.7109375" style="0" customWidth="1"/>
    <col min="2" max="2" width="1.7109375" style="0" customWidth="1"/>
    <col min="3" max="3" width="27.28125" style="0" customWidth="1"/>
    <col min="4" max="4" width="1.7109375" style="0" customWidth="1"/>
    <col min="5" max="5" width="11.7109375" style="0" customWidth="1"/>
    <col min="6" max="6" width="1.7109375" style="0" customWidth="1"/>
    <col min="7" max="7" width="14.00390625" style="0" bestFit="1" customWidth="1"/>
    <col min="8" max="8" width="1.7109375" style="0" customWidth="1"/>
    <col min="9" max="9" width="14.7109375" style="0" customWidth="1"/>
    <col min="10" max="10" width="1.7109375" style="0" customWidth="1"/>
    <col min="11" max="11" width="13.421875" style="0" customWidth="1"/>
    <col min="12" max="12" width="1.7109375" style="0" customWidth="1"/>
    <col min="13" max="13" width="12.421875" style="0" customWidth="1"/>
    <col min="14" max="14" width="1.421875" style="0" customWidth="1"/>
    <col min="15" max="15" width="14.00390625" style="0" bestFit="1" customWidth="1"/>
    <col min="16" max="16" width="1.7109375" style="0" customWidth="1"/>
    <col min="17" max="17" width="13.7109375" style="0" bestFit="1" customWidth="1"/>
    <col min="18" max="18" width="2.140625" style="0" customWidth="1"/>
    <col min="19" max="19" width="10.00390625" style="0" bestFit="1" customWidth="1"/>
    <col min="20" max="20" width="1.7109375" style="0" customWidth="1"/>
    <col min="21" max="21" width="11.00390625" style="0" bestFit="1" customWidth="1"/>
  </cols>
  <sheetData>
    <row r="1" spans="1:21" ht="15.75">
      <c r="A1" s="20"/>
      <c r="B1" s="20"/>
      <c r="C1" s="11"/>
      <c r="D1" s="11"/>
      <c r="E1" s="32"/>
      <c r="F1" s="32"/>
      <c r="G1" s="30"/>
      <c r="H1" s="30"/>
      <c r="J1" s="30"/>
      <c r="K1" s="134"/>
      <c r="L1" s="30"/>
      <c r="U1" s="134" t="s">
        <v>715</v>
      </c>
    </row>
    <row r="2" spans="1:13" ht="12.75">
      <c r="A2" s="11"/>
      <c r="B2" s="7"/>
      <c r="C2" s="8"/>
      <c r="D2" s="8"/>
      <c r="E2" s="10"/>
      <c r="F2" s="10"/>
      <c r="G2" s="12"/>
      <c r="H2" s="12"/>
      <c r="I2" s="11"/>
      <c r="J2" s="12"/>
      <c r="K2" s="11"/>
      <c r="L2" s="12"/>
      <c r="M2" s="11"/>
    </row>
    <row r="3" spans="1:13" ht="12.75">
      <c r="A3" s="80" t="str">
        <f>'Schedule A'!$A$3</f>
        <v>HUGHES NATURAL GAS </v>
      </c>
      <c r="B3" s="81"/>
      <c r="C3" s="81"/>
      <c r="D3" s="81"/>
      <c r="E3" s="82"/>
      <c r="F3" s="82"/>
      <c r="G3" s="83"/>
      <c r="H3" s="83"/>
      <c r="I3" s="84"/>
      <c r="J3" s="83"/>
      <c r="K3" s="84"/>
      <c r="L3" s="83"/>
      <c r="M3" s="84"/>
    </row>
    <row r="4" spans="1:13" ht="12.75">
      <c r="A4" s="80" t="str">
        <f>'Schedule A'!$A$4</f>
        <v>TEST YEAR ENDING DECEMBER 31, 2006</v>
      </c>
      <c r="B4" s="81"/>
      <c r="C4" s="81"/>
      <c r="D4" s="81"/>
      <c r="E4" s="82"/>
      <c r="F4" s="82"/>
      <c r="G4" s="83"/>
      <c r="H4" s="83"/>
      <c r="I4" s="83"/>
      <c r="J4" s="83"/>
      <c r="K4" s="83"/>
      <c r="L4" s="83"/>
      <c r="M4" s="83"/>
    </row>
    <row r="5" spans="1:13" ht="12.75">
      <c r="A5" s="82"/>
      <c r="B5" s="81"/>
      <c r="C5" s="81"/>
      <c r="D5" s="81"/>
      <c r="E5" s="82"/>
      <c r="F5" s="82"/>
      <c r="G5" s="83"/>
      <c r="H5" s="83"/>
      <c r="I5" s="83"/>
      <c r="J5" s="83"/>
      <c r="K5" s="83"/>
      <c r="L5" s="83"/>
      <c r="M5" s="83"/>
    </row>
    <row r="6" spans="1:13" ht="12.75">
      <c r="A6" s="85" t="s">
        <v>526</v>
      </c>
      <c r="B6" s="81"/>
      <c r="C6" s="81"/>
      <c r="D6" s="81"/>
      <c r="E6" s="82"/>
      <c r="F6" s="82"/>
      <c r="G6" s="83"/>
      <c r="H6" s="83"/>
      <c r="I6" s="83"/>
      <c r="J6" s="83"/>
      <c r="K6" s="83"/>
      <c r="L6" s="83"/>
      <c r="M6" s="83"/>
    </row>
    <row r="7" spans="1:13" ht="12.75">
      <c r="A7" s="85"/>
      <c r="B7" s="81"/>
      <c r="C7" s="81"/>
      <c r="D7" s="81"/>
      <c r="E7" s="82"/>
      <c r="F7" s="82"/>
      <c r="G7" s="83"/>
      <c r="H7" s="83"/>
      <c r="I7" s="83"/>
      <c r="J7" s="83"/>
      <c r="K7" s="83"/>
      <c r="L7" s="83"/>
      <c r="M7" s="83"/>
    </row>
    <row r="8" spans="1:21" ht="12.75">
      <c r="A8" s="85"/>
      <c r="B8" s="81"/>
      <c r="C8" s="81"/>
      <c r="D8" s="81"/>
      <c r="E8" s="82"/>
      <c r="F8" s="82"/>
      <c r="G8" s="729" t="s">
        <v>76</v>
      </c>
      <c r="H8" s="730"/>
      <c r="I8" s="730"/>
      <c r="J8" s="730"/>
      <c r="K8" s="730"/>
      <c r="L8" s="730"/>
      <c r="M8" s="731"/>
      <c r="O8" s="727" t="s">
        <v>731</v>
      </c>
      <c r="P8" s="728"/>
      <c r="Q8" s="728"/>
      <c r="R8" s="728"/>
      <c r="S8" s="728"/>
      <c r="T8" s="728"/>
      <c r="U8" s="715"/>
    </row>
    <row r="9" spans="1:13" ht="13.5" thickBot="1">
      <c r="A9" s="85"/>
      <c r="B9" s="81"/>
      <c r="C9" s="81"/>
      <c r="D9" s="81"/>
      <c r="E9" s="18" t="s">
        <v>439</v>
      </c>
      <c r="F9" s="22"/>
      <c r="G9" s="23"/>
      <c r="H9" s="23"/>
      <c r="I9" s="23"/>
      <c r="J9" s="23"/>
      <c r="K9" s="23"/>
      <c r="L9" s="23"/>
      <c r="M9" s="23"/>
    </row>
    <row r="10" spans="1:21" ht="12.75">
      <c r="A10" s="96" t="s">
        <v>486</v>
      </c>
      <c r="B10" s="77"/>
      <c r="C10" s="98"/>
      <c r="D10" s="58"/>
      <c r="E10" s="100" t="s">
        <v>485</v>
      </c>
      <c r="F10" s="58"/>
      <c r="G10" s="100" t="s">
        <v>498</v>
      </c>
      <c r="H10" s="149" t="s">
        <v>439</v>
      </c>
      <c r="I10" s="150" t="s">
        <v>522</v>
      </c>
      <c r="J10" s="149"/>
      <c r="K10" s="244" t="s">
        <v>345</v>
      </c>
      <c r="L10" s="245"/>
      <c r="M10" s="244" t="s">
        <v>338</v>
      </c>
      <c r="O10" s="100" t="s">
        <v>498</v>
      </c>
      <c r="P10" s="149" t="s">
        <v>439</v>
      </c>
      <c r="Q10" s="150" t="s">
        <v>522</v>
      </c>
      <c r="R10" s="149"/>
      <c r="S10" s="244" t="s">
        <v>345</v>
      </c>
      <c r="T10" s="245"/>
      <c r="U10" s="244" t="s">
        <v>338</v>
      </c>
    </row>
    <row r="11" spans="1:21" ht="13.5" thickBot="1">
      <c r="A11" s="97" t="s">
        <v>520</v>
      </c>
      <c r="B11" s="77"/>
      <c r="C11" s="99" t="s">
        <v>553</v>
      </c>
      <c r="D11" s="58"/>
      <c r="E11" s="97" t="s">
        <v>490</v>
      </c>
      <c r="F11" s="73"/>
      <c r="G11" s="97" t="s">
        <v>499</v>
      </c>
      <c r="H11" s="149"/>
      <c r="I11" s="97" t="s">
        <v>490</v>
      </c>
      <c r="J11" s="149"/>
      <c r="K11" s="246" t="s">
        <v>467</v>
      </c>
      <c r="L11" s="245"/>
      <c r="M11" s="246" t="s">
        <v>467</v>
      </c>
      <c r="O11" s="97" t="s">
        <v>499</v>
      </c>
      <c r="P11" s="149"/>
      <c r="Q11" s="97" t="s">
        <v>490</v>
      </c>
      <c r="R11" s="149"/>
      <c r="S11" s="246" t="s">
        <v>467</v>
      </c>
      <c r="T11" s="245"/>
      <c r="U11" s="246" t="s">
        <v>467</v>
      </c>
    </row>
    <row r="12" spans="1:21" ht="12.75">
      <c r="A12" s="17"/>
      <c r="B12" s="77"/>
      <c r="C12" s="17" t="s">
        <v>404</v>
      </c>
      <c r="D12" s="17"/>
      <c r="E12" s="19" t="s">
        <v>405</v>
      </c>
      <c r="F12" s="18"/>
      <c r="G12" s="19" t="s">
        <v>551</v>
      </c>
      <c r="H12" s="12"/>
      <c r="I12" s="19" t="s">
        <v>406</v>
      </c>
      <c r="J12" s="12"/>
      <c r="K12" s="19" t="s">
        <v>550</v>
      </c>
      <c r="L12" s="247"/>
      <c r="M12" s="19" t="s">
        <v>555</v>
      </c>
      <c r="O12" s="19" t="s">
        <v>481</v>
      </c>
      <c r="P12" s="12"/>
      <c r="Q12" s="19" t="s">
        <v>81</v>
      </c>
      <c r="R12" s="12"/>
      <c r="S12" s="19" t="s">
        <v>82</v>
      </c>
      <c r="T12" s="247"/>
      <c r="U12" s="19" t="s">
        <v>16</v>
      </c>
    </row>
    <row r="13" spans="1:21" ht="12.75" customHeight="1">
      <c r="A13" s="16"/>
      <c r="B13" s="16"/>
      <c r="C13" s="21"/>
      <c r="D13" s="21"/>
      <c r="E13" s="22"/>
      <c r="F13" s="22"/>
      <c r="G13" s="23"/>
      <c r="H13" s="23"/>
      <c r="I13" s="23"/>
      <c r="J13" s="23"/>
      <c r="K13" s="135"/>
      <c r="L13" s="135"/>
      <c r="M13" s="135"/>
      <c r="O13" s="23"/>
      <c r="P13" s="23"/>
      <c r="Q13" s="23"/>
      <c r="R13" s="23"/>
      <c r="S13" s="135"/>
      <c r="T13" s="135"/>
      <c r="U13" s="135"/>
    </row>
    <row r="14" spans="1:21" ht="12.75" customHeight="1">
      <c r="A14" s="16"/>
      <c r="B14" s="16"/>
      <c r="C14" s="69" t="s">
        <v>411</v>
      </c>
      <c r="D14" s="69"/>
      <c r="E14" s="23"/>
      <c r="F14" s="23"/>
      <c r="G14" s="23"/>
      <c r="H14" s="23"/>
      <c r="I14" s="23"/>
      <c r="J14" s="23"/>
      <c r="K14" s="135"/>
      <c r="L14" s="135"/>
      <c r="M14" s="135"/>
      <c r="O14" s="23"/>
      <c r="P14" s="23"/>
      <c r="Q14" s="23"/>
      <c r="R14" s="23"/>
      <c r="S14" s="135"/>
      <c r="T14" s="135"/>
      <c r="U14" s="135"/>
    </row>
    <row r="15" spans="1:21" ht="12.75" customHeight="1">
      <c r="A15" s="17">
        <v>1</v>
      </c>
      <c r="B15" s="17"/>
      <c r="C15" s="21" t="s">
        <v>545</v>
      </c>
      <c r="D15" s="21"/>
      <c r="E15" s="232">
        <f>+'Schedule D-1'!E40</f>
        <v>603369.1334565711</v>
      </c>
      <c r="F15" s="232"/>
      <c r="G15" s="232">
        <v>167618.38795316336</v>
      </c>
      <c r="H15" s="232"/>
      <c r="I15" s="232">
        <v>770987.5214097345</v>
      </c>
      <c r="J15" s="232"/>
      <c r="K15" s="248">
        <v>286230.47859026527</v>
      </c>
      <c r="L15" s="248"/>
      <c r="M15" s="248">
        <v>1057218</v>
      </c>
      <c r="N15" s="138"/>
      <c r="O15" s="232">
        <f>+Q15-E15</f>
        <v>167618.38795316336</v>
      </c>
      <c r="P15" s="232"/>
      <c r="Q15" s="232">
        <f>+'Schedule D-1'!O40</f>
        <v>770987.5214097345</v>
      </c>
      <c r="R15" s="232"/>
      <c r="S15" s="248">
        <f>+U15-Q15</f>
        <v>190401.83925780316</v>
      </c>
      <c r="T15" s="248"/>
      <c r="U15" s="248">
        <f>+'Schedule F'!J87</f>
        <v>961389.3606675377</v>
      </c>
    </row>
    <row r="16" spans="1:21" ht="12.75" customHeight="1">
      <c r="A16" s="17">
        <v>2</v>
      </c>
      <c r="B16" s="17"/>
      <c r="C16" s="21" t="s">
        <v>546</v>
      </c>
      <c r="D16" s="21"/>
      <c r="E16" s="228">
        <f>+'Schedule D-2'!G35</f>
        <v>14337.94</v>
      </c>
      <c r="F16" s="228"/>
      <c r="G16" s="228">
        <v>2767</v>
      </c>
      <c r="H16" s="228"/>
      <c r="I16" s="228">
        <v>17104.94</v>
      </c>
      <c r="J16" s="228"/>
      <c r="K16" s="249">
        <v>6340.06</v>
      </c>
      <c r="L16" s="249"/>
      <c r="M16" s="249">
        <v>23445</v>
      </c>
      <c r="O16" s="228">
        <f>+Q16-E16</f>
        <v>2766.999999999998</v>
      </c>
      <c r="P16" s="228"/>
      <c r="Q16" s="228">
        <f>+'Schedule D-2'!M35</f>
        <v>17104.94</v>
      </c>
      <c r="R16" s="228"/>
      <c r="S16" s="249">
        <f>+U16-Q16</f>
        <v>6340.060000000001</v>
      </c>
      <c r="T16" s="249"/>
      <c r="U16" s="249">
        <f>+'Schedule D-2'!Q35</f>
        <v>23445</v>
      </c>
    </row>
    <row r="17" spans="1:21" ht="12.75" customHeight="1">
      <c r="A17" s="17">
        <v>3</v>
      </c>
      <c r="B17" s="17"/>
      <c r="C17" s="21" t="s">
        <v>547</v>
      </c>
      <c r="D17" s="21"/>
      <c r="E17" s="241">
        <f>E15+E16</f>
        <v>617707.0734565711</v>
      </c>
      <c r="F17" s="232"/>
      <c r="G17" s="241">
        <v>170385.38795316336</v>
      </c>
      <c r="H17" s="232"/>
      <c r="I17" s="241">
        <v>788092.4614097344</v>
      </c>
      <c r="J17" s="232"/>
      <c r="K17" s="250">
        <v>292570.53859026526</v>
      </c>
      <c r="L17" s="248"/>
      <c r="M17" s="250">
        <v>1080663</v>
      </c>
      <c r="O17" s="241">
        <f>O15+O16</f>
        <v>170385.38795316336</v>
      </c>
      <c r="P17" s="232"/>
      <c r="Q17" s="241">
        <f>+Q16+Q15</f>
        <v>788092.4614097344</v>
      </c>
      <c r="R17" s="232"/>
      <c r="S17" s="250">
        <f>+S16+S15</f>
        <v>196741.89925780316</v>
      </c>
      <c r="T17" s="248"/>
      <c r="U17" s="250">
        <f>+U15+U16</f>
        <v>984834.3606675377</v>
      </c>
    </row>
    <row r="18" spans="1:21" ht="12.75" customHeight="1">
      <c r="A18" s="17"/>
      <c r="B18" s="17"/>
      <c r="C18" s="21"/>
      <c r="D18" s="21"/>
      <c r="E18" s="23"/>
      <c r="F18" s="23"/>
      <c r="G18" s="23"/>
      <c r="H18" s="23"/>
      <c r="I18" s="23"/>
      <c r="J18" s="23"/>
      <c r="K18" s="135"/>
      <c r="L18" s="135"/>
      <c r="M18" s="135"/>
      <c r="O18" s="23"/>
      <c r="P18" s="23"/>
      <c r="Q18" s="23"/>
      <c r="R18" s="23"/>
      <c r="S18" s="135"/>
      <c r="T18" s="135"/>
      <c r="U18" s="135"/>
    </row>
    <row r="19" spans="1:21" ht="12.75" customHeight="1">
      <c r="A19" s="17"/>
      <c r="B19" s="17"/>
      <c r="C19" s="21"/>
      <c r="D19" s="21"/>
      <c r="E19" s="23"/>
      <c r="F19" s="23"/>
      <c r="G19" s="23"/>
      <c r="H19" s="23"/>
      <c r="I19" s="23"/>
      <c r="J19" s="23"/>
      <c r="K19" s="135"/>
      <c r="L19" s="135"/>
      <c r="M19" s="135"/>
      <c r="O19" s="23"/>
      <c r="P19" s="23"/>
      <c r="Q19" s="23"/>
      <c r="R19" s="23"/>
      <c r="S19" s="135"/>
      <c r="T19" s="135"/>
      <c r="U19" s="135"/>
    </row>
    <row r="20" spans="1:21" ht="12.75" customHeight="1">
      <c r="A20" s="17"/>
      <c r="B20" s="17"/>
      <c r="C20" s="69" t="s">
        <v>548</v>
      </c>
      <c r="D20" s="69"/>
      <c r="E20" s="23"/>
      <c r="F20" s="23"/>
      <c r="G20" s="23"/>
      <c r="H20" s="23"/>
      <c r="I20" s="23"/>
      <c r="J20" s="23"/>
      <c r="K20" s="135"/>
      <c r="L20" s="135"/>
      <c r="M20" s="135"/>
      <c r="O20" s="23"/>
      <c r="P20" s="23"/>
      <c r="Q20" s="23"/>
      <c r="R20" s="23"/>
      <c r="S20" s="135"/>
      <c r="T20" s="135"/>
      <c r="U20" s="135"/>
    </row>
    <row r="21" spans="1:21" ht="12.75" customHeight="1">
      <c r="A21" s="17">
        <v>4</v>
      </c>
      <c r="B21" s="17"/>
      <c r="C21" s="21" t="s">
        <v>427</v>
      </c>
      <c r="D21" s="21"/>
      <c r="E21" s="232">
        <f>+'Schedule C'!F24</f>
        <v>150731.93000000005</v>
      </c>
      <c r="F21" s="232"/>
      <c r="G21" s="232">
        <v>22464.56708816011</v>
      </c>
      <c r="H21" s="232"/>
      <c r="I21" s="232">
        <v>173196.49708816016</v>
      </c>
      <c r="J21" s="23"/>
      <c r="K21" s="248">
        <v>0</v>
      </c>
      <c r="L21" s="135"/>
      <c r="M21" s="135">
        <v>173196.49708816016</v>
      </c>
      <c r="O21" s="232">
        <f>+Q21-E21</f>
        <v>-49455.43291183992</v>
      </c>
      <c r="P21" s="232"/>
      <c r="Q21" s="232">
        <f>+'Schedule C'!N24</f>
        <v>101276.49708816013</v>
      </c>
      <c r="R21" s="23"/>
      <c r="S21" s="248">
        <f>+U21-Q21</f>
        <v>0</v>
      </c>
      <c r="T21" s="135"/>
      <c r="U21" s="135">
        <f>+Q21</f>
        <v>101276.49708816013</v>
      </c>
    </row>
    <row r="22" spans="1:21" ht="12.75" customHeight="1">
      <c r="A22" s="17">
        <v>5</v>
      </c>
      <c r="B22" s="17"/>
      <c r="C22" s="21" t="s">
        <v>423</v>
      </c>
      <c r="D22" s="21"/>
      <c r="E22" s="228">
        <f>+'Schedule C'!F33</f>
        <v>72115.74</v>
      </c>
      <c r="F22" s="228"/>
      <c r="G22" s="228">
        <v>22704.239314667866</v>
      </c>
      <c r="H22" s="228"/>
      <c r="I22" s="228">
        <v>94819.97931466787</v>
      </c>
      <c r="J22" s="228"/>
      <c r="K22" s="249">
        <v>5964.691913570059</v>
      </c>
      <c r="L22" s="249"/>
      <c r="M22" s="249">
        <v>100784.67122823793</v>
      </c>
      <c r="O22" s="228">
        <f>+Q22-E22</f>
        <v>22704.239314667866</v>
      </c>
      <c r="P22" s="228"/>
      <c r="Q22" s="228">
        <f>+'Schedule C'!N33</f>
        <v>94819.97931466787</v>
      </c>
      <c r="R22" s="228"/>
      <c r="S22" s="249">
        <f>-'Schedule A'!I34*S17</f>
        <v>4011.014988788348</v>
      </c>
      <c r="T22" s="249"/>
      <c r="U22" s="249">
        <f>+S22+Q22</f>
        <v>98830.99430345622</v>
      </c>
    </row>
    <row r="23" spans="1:21" ht="12.75" customHeight="1">
      <c r="A23" s="17">
        <v>6</v>
      </c>
      <c r="B23" s="17"/>
      <c r="C23" s="21" t="s">
        <v>494</v>
      </c>
      <c r="D23" s="21"/>
      <c r="E23" s="228">
        <f>+'Schedule C'!F43</f>
        <v>211986.87</v>
      </c>
      <c r="F23" s="228"/>
      <c r="G23" s="228">
        <v>34826.56375079497</v>
      </c>
      <c r="H23" s="228"/>
      <c r="I23" s="228">
        <v>246813.43375079497</v>
      </c>
      <c r="J23" s="228"/>
      <c r="K23" s="249">
        <v>0</v>
      </c>
      <c r="L23" s="249"/>
      <c r="M23" s="249">
        <v>246813.43375079497</v>
      </c>
      <c r="O23" s="228">
        <f>+Q23-E23</f>
        <v>-60173.43624920503</v>
      </c>
      <c r="P23" s="228"/>
      <c r="Q23" s="228">
        <f>+'Schedule C'!N43</f>
        <v>151813.43375079497</v>
      </c>
      <c r="R23" s="228"/>
      <c r="S23" s="249">
        <f>+U23-Q23</f>
        <v>0</v>
      </c>
      <c r="T23" s="249"/>
      <c r="U23" s="249">
        <f>+Q23</f>
        <v>151813.43375079497</v>
      </c>
    </row>
    <row r="24" spans="1:21" ht="12.75" customHeight="1">
      <c r="A24" s="17">
        <v>7</v>
      </c>
      <c r="B24" s="17"/>
      <c r="C24" s="21" t="s">
        <v>426</v>
      </c>
      <c r="D24" s="21"/>
      <c r="E24" s="228">
        <f>+'Schedule C'!F46</f>
        <v>88860.14</v>
      </c>
      <c r="F24" s="228"/>
      <c r="G24" s="228">
        <v>27566.061246969693</v>
      </c>
      <c r="H24" s="228"/>
      <c r="I24" s="228">
        <v>116426.2012469697</v>
      </c>
      <c r="J24" s="228"/>
      <c r="K24" s="249">
        <v>0</v>
      </c>
      <c r="L24" s="249"/>
      <c r="M24" s="249">
        <v>116426.2012469697</v>
      </c>
      <c r="O24" s="228">
        <f>+Q24-E24</f>
        <v>27566.061246969693</v>
      </c>
      <c r="P24" s="228"/>
      <c r="Q24" s="228">
        <f>+'Schedule C'!N46</f>
        <v>116426.2012469697</v>
      </c>
      <c r="R24" s="228"/>
      <c r="S24" s="249">
        <f>+U24-Q24</f>
        <v>0</v>
      </c>
      <c r="T24" s="249"/>
      <c r="U24" s="249">
        <f>+Q24</f>
        <v>116426.2012469697</v>
      </c>
    </row>
    <row r="25" spans="1:21" ht="12.75" customHeight="1">
      <c r="A25" s="17">
        <v>8</v>
      </c>
      <c r="B25" s="17"/>
      <c r="C25" s="21" t="s">
        <v>488</v>
      </c>
      <c r="D25" s="21"/>
      <c r="E25" s="228">
        <f>+'Schedule C'!F54</f>
        <v>10256</v>
      </c>
      <c r="F25" s="228"/>
      <c r="G25" s="228">
        <v>7622.668745185656</v>
      </c>
      <c r="H25" s="228"/>
      <c r="I25" s="228">
        <v>17878.668745185656</v>
      </c>
      <c r="J25" s="228"/>
      <c r="K25" s="249">
        <v>1462.8526929513264</v>
      </c>
      <c r="L25" s="249"/>
      <c r="M25" s="249">
        <v>19341.52143813698</v>
      </c>
      <c r="O25" s="228">
        <f>+Q25-E25</f>
        <v>7622.668745185656</v>
      </c>
      <c r="P25" s="228"/>
      <c r="Q25" s="228">
        <f>+'Schedule C'!N54</f>
        <v>17878.668745185656</v>
      </c>
      <c r="R25" s="228"/>
      <c r="S25" s="249">
        <f>+'Schedule A'!I33*-S17</f>
        <v>983.7094962890159</v>
      </c>
      <c r="T25" s="249"/>
      <c r="U25" s="249">
        <f>+S25+Q25</f>
        <v>18862.37824147467</v>
      </c>
    </row>
    <row r="26" spans="1:21" ht="12.75" customHeight="1">
      <c r="A26" s="17">
        <f>+A25+1</f>
        <v>9</v>
      </c>
      <c r="B26" s="17"/>
      <c r="C26" s="21" t="s">
        <v>344</v>
      </c>
      <c r="D26" s="21"/>
      <c r="E26" s="228">
        <f>+26912</f>
        <v>26912</v>
      </c>
      <c r="F26" s="228"/>
      <c r="G26" s="228">
        <v>19320.45073258477</v>
      </c>
      <c r="H26" s="228"/>
      <c r="I26" s="228">
        <v>48635.18844238464</v>
      </c>
      <c r="J26" s="228"/>
      <c r="K26" s="249">
        <v>99800.04789431035</v>
      </c>
      <c r="L26" s="249"/>
      <c r="M26" s="249">
        <v>148435.236336695</v>
      </c>
      <c r="O26" s="228">
        <f>(O17-(O21+O22+O23+O24+O25))*0.35</f>
        <v>77742.45073258478</v>
      </c>
      <c r="P26" s="228"/>
      <c r="Q26" s="228">
        <f>(Q17-(Q21+Q22+Q23+Q24+Q25))*0.35</f>
        <v>107057.18844238463</v>
      </c>
      <c r="R26" s="228"/>
      <c r="S26" s="249">
        <f>(S17-S22-S25)*'Schedule A'!I36</f>
        <v>67111.51117045402</v>
      </c>
      <c r="T26" s="249"/>
      <c r="U26" s="249">
        <f>+S26+Q26</f>
        <v>174168.69961283865</v>
      </c>
    </row>
    <row r="27" spans="1:21" ht="12.75" customHeight="1">
      <c r="A27" s="17">
        <f>+A26+1</f>
        <v>10</v>
      </c>
      <c r="B27" s="17"/>
      <c r="C27" s="21" t="s">
        <v>339</v>
      </c>
      <c r="D27" s="21"/>
      <c r="E27" s="228">
        <f>+49980</f>
        <v>49980</v>
      </c>
      <c r="F27" s="228"/>
      <c r="G27" s="228">
        <v>35880.83707480029</v>
      </c>
      <c r="H27" s="228"/>
      <c r="I27" s="228">
        <v>90322.49282157148</v>
      </c>
      <c r="J27" s="228"/>
      <c r="K27" s="249">
        <v>185342.94608943354</v>
      </c>
      <c r="L27" s="249"/>
      <c r="M27" s="249">
        <v>275665.43891100504</v>
      </c>
      <c r="O27" s="228">
        <f>O17-O21-O22-O23-O24-O25-O26</f>
        <v>144378.8370748003</v>
      </c>
      <c r="P27" s="228"/>
      <c r="Q27" s="228">
        <f>Q17-Q21-Q22-Q23-Q24-Q25-Q26</f>
        <v>198820.49282157148</v>
      </c>
      <c r="R27" s="228"/>
      <c r="S27" s="249">
        <f>S17-S22-S25-S26</f>
        <v>124635.66360227177</v>
      </c>
      <c r="T27" s="249"/>
      <c r="U27" s="249">
        <f>+S27+Q27</f>
        <v>323456.15642384323</v>
      </c>
    </row>
    <row r="28" spans="1:21" ht="12.75" customHeight="1" thickBot="1">
      <c r="A28" s="17">
        <f>+A27+1</f>
        <v>11</v>
      </c>
      <c r="B28" s="17"/>
      <c r="C28" s="21" t="s">
        <v>549</v>
      </c>
      <c r="D28" s="21"/>
      <c r="E28" s="240">
        <f>SUM(E21:E27)</f>
        <v>610842.68</v>
      </c>
      <c r="F28" s="232"/>
      <c r="G28" s="240">
        <v>170385.38795316336</v>
      </c>
      <c r="H28" s="232"/>
      <c r="I28" s="240">
        <v>788092.4614097343</v>
      </c>
      <c r="J28" s="23"/>
      <c r="K28" s="251">
        <v>292570.53859026526</v>
      </c>
      <c r="L28" s="248"/>
      <c r="M28" s="251">
        <v>1080663</v>
      </c>
      <c r="O28" s="240">
        <f>SUM(O21:O27)</f>
        <v>170385.38795316336</v>
      </c>
      <c r="P28" s="232"/>
      <c r="Q28" s="240">
        <f>SUM(Q21:Q27)</f>
        <v>788092.4614097343</v>
      </c>
      <c r="R28" s="23"/>
      <c r="S28" s="251">
        <f>SUM(S21:S27)</f>
        <v>196741.89925780316</v>
      </c>
      <c r="T28" s="248"/>
      <c r="U28" s="251">
        <f>SUM(U21:U27)</f>
        <v>984834.3606675375</v>
      </c>
    </row>
    <row r="29" spans="1:13" ht="12.75" customHeight="1" thickTop="1">
      <c r="A29" s="17"/>
      <c r="B29" s="17"/>
      <c r="C29" s="21"/>
      <c r="D29" s="21"/>
      <c r="E29" s="23"/>
      <c r="F29" s="23"/>
      <c r="G29" s="23"/>
      <c r="H29" s="23"/>
      <c r="I29" s="23"/>
      <c r="J29" s="23"/>
      <c r="K29" s="135"/>
      <c r="L29" s="135"/>
      <c r="M29" s="135"/>
    </row>
    <row r="30" spans="1:13" ht="12.75" customHeight="1">
      <c r="A30" s="17"/>
      <c r="B30" s="17"/>
      <c r="C30" s="21"/>
      <c r="D30" s="21"/>
      <c r="E30" s="23"/>
      <c r="F30" s="23"/>
      <c r="G30" s="23"/>
      <c r="H30" s="23"/>
      <c r="I30" s="23"/>
      <c r="J30" s="23"/>
      <c r="K30" s="135"/>
      <c r="L30" s="135"/>
      <c r="M30" s="135"/>
    </row>
    <row r="31" spans="1:4" ht="12.75">
      <c r="A31" s="16"/>
      <c r="B31" s="16"/>
      <c r="C31" s="31"/>
      <c r="D31" s="31"/>
    </row>
    <row r="34" spans="5:13" ht="12.75">
      <c r="E34" s="577"/>
      <c r="F34" s="22"/>
      <c r="G34" s="577"/>
      <c r="H34" s="23"/>
      <c r="I34" s="570" t="s">
        <v>56</v>
      </c>
      <c r="J34" s="23"/>
      <c r="K34" s="725" t="s">
        <v>61</v>
      </c>
      <c r="L34" s="725"/>
      <c r="M34" s="725"/>
    </row>
    <row r="35" spans="5:12" ht="12.75">
      <c r="E35" s="23"/>
      <c r="F35" s="22"/>
      <c r="G35" s="23"/>
      <c r="H35" s="23"/>
      <c r="J35" s="23"/>
      <c r="K35" s="19"/>
      <c r="L35" s="23"/>
    </row>
    <row r="36" spans="5:13" ht="12.75">
      <c r="E36" s="239"/>
      <c r="F36" s="239"/>
      <c r="G36" s="239"/>
      <c r="H36" s="23"/>
      <c r="I36" s="23"/>
      <c r="J36" s="23"/>
      <c r="K36" s="703" t="str">
        <f>IF(K42&lt;=M42,"Recommended","COS")</f>
        <v>Recommended</v>
      </c>
      <c r="L36" s="19"/>
      <c r="M36" s="564" t="s">
        <v>60</v>
      </c>
    </row>
    <row r="37" spans="11:13" ht="12.75">
      <c r="K37" s="17" t="s">
        <v>404</v>
      </c>
      <c r="L37" s="17"/>
      <c r="M37" s="19" t="s">
        <v>405</v>
      </c>
    </row>
    <row r="38" spans="5:13" ht="12.75">
      <c r="E38" s="565" t="s">
        <v>57</v>
      </c>
      <c r="F38" s="2"/>
      <c r="G38" s="2"/>
      <c r="H38" s="2"/>
      <c r="I38" s="2"/>
      <c r="J38" s="2"/>
      <c r="K38" s="566">
        <f>+Q17</f>
        <v>788092.4614097344</v>
      </c>
      <c r="L38" s="566"/>
      <c r="M38" s="566">
        <f>+K38</f>
        <v>788092.4614097344</v>
      </c>
    </row>
    <row r="39" spans="5:13" ht="12.75">
      <c r="E39" s="565" t="s">
        <v>58</v>
      </c>
      <c r="F39" s="2"/>
      <c r="G39" s="2"/>
      <c r="H39" s="2"/>
      <c r="I39" s="2"/>
      <c r="J39" s="2"/>
      <c r="K39" s="567">
        <f>+'Schedule A'!M23</f>
        <v>196741.89925780322</v>
      </c>
      <c r="L39" s="566"/>
      <c r="M39" s="566"/>
    </row>
    <row r="40" spans="5:13" ht="13.5" thickBot="1">
      <c r="E40" s="568" t="s">
        <v>59</v>
      </c>
      <c r="F40" s="2"/>
      <c r="G40" s="2"/>
      <c r="H40" s="2"/>
      <c r="I40" s="2"/>
      <c r="J40" s="2"/>
      <c r="K40" s="569"/>
      <c r="L40" s="566"/>
      <c r="M40" s="628">
        <f>'Schedule A'!I25</f>
        <v>292571</v>
      </c>
    </row>
    <row r="41" spans="5:13" ht="12.75">
      <c r="E41" s="565"/>
      <c r="F41" s="2"/>
      <c r="G41" s="2"/>
      <c r="H41" s="2"/>
      <c r="I41" s="2"/>
      <c r="J41" s="2"/>
      <c r="K41" s="566"/>
      <c r="L41" s="566"/>
      <c r="M41" s="566"/>
    </row>
    <row r="42" spans="5:13" ht="12.75">
      <c r="E42" s="565" t="s">
        <v>122</v>
      </c>
      <c r="F42" s="2"/>
      <c r="G42" s="2"/>
      <c r="H42" s="2"/>
      <c r="I42" s="2"/>
      <c r="J42" s="2"/>
      <c r="K42" s="566">
        <f>+K39+K38</f>
        <v>984834.3606675377</v>
      </c>
      <c r="L42" s="566"/>
      <c r="M42" s="566">
        <f>+M40+M38</f>
        <v>1080663.4614097346</v>
      </c>
    </row>
    <row r="43" spans="5:13" ht="12.75">
      <c r="E43" s="2"/>
      <c r="F43" s="2"/>
      <c r="G43" s="2"/>
      <c r="H43" s="2"/>
      <c r="I43" s="2"/>
      <c r="J43" s="2"/>
      <c r="K43" s="2"/>
      <c r="L43" s="2"/>
      <c r="M43" s="2"/>
    </row>
    <row r="44" spans="5:13" ht="13.5" thickBot="1">
      <c r="E44" s="565" t="s">
        <v>55</v>
      </c>
      <c r="F44" s="2"/>
      <c r="G44" s="2"/>
      <c r="H44" s="2"/>
      <c r="I44" s="2"/>
      <c r="J44" s="2"/>
      <c r="K44" s="81"/>
      <c r="L44" s="81"/>
      <c r="M44" s="571">
        <f>+M42/K42</f>
        <v>1.0973047900940847</v>
      </c>
    </row>
    <row r="45" ht="13.5" thickTop="1"/>
  </sheetData>
  <mergeCells count="3">
    <mergeCell ref="K34:M34"/>
    <mergeCell ref="O8:U8"/>
    <mergeCell ref="G8:M8"/>
  </mergeCells>
  <printOptions horizontalCentered="1"/>
  <pageMargins left="0.25" right="0.25" top="1.25" bottom="0.25" header="0.5" footer="0.5"/>
  <pageSetup fitToHeight="1" fitToWidth="1" horizontalDpi="600" verticalDpi="600" orientation="landscape" scale="82" r:id="rId1"/>
  <headerFooter alignWithMargins="0">
    <oddFooter>&amp;LGUD No. 9731&amp;RFinal Order</oddFooter>
  </headerFooter>
</worksheet>
</file>

<file path=xl/worksheets/sheet4.xml><?xml version="1.0" encoding="utf-8"?>
<worksheet xmlns="http://schemas.openxmlformats.org/spreadsheetml/2006/main" xmlns:r="http://schemas.openxmlformats.org/officeDocument/2006/relationships">
  <sheetPr codeName="Sheet4">
    <tabColor indexed="40"/>
  </sheetPr>
  <dimension ref="A1:K28"/>
  <sheetViews>
    <sheetView zoomScale="75" zoomScaleNormal="75" workbookViewId="0" topLeftCell="A1">
      <selection activeCell="K10" sqref="K10"/>
    </sheetView>
  </sheetViews>
  <sheetFormatPr defaultColWidth="9.140625" defaultRowHeight="12.75"/>
  <cols>
    <col min="1" max="1" width="5.7109375" style="0" customWidth="1"/>
    <col min="2" max="2" width="1.7109375" style="0" customWidth="1"/>
    <col min="3" max="3" width="32.421875" style="0" customWidth="1"/>
    <col min="4" max="4" width="1.7109375" style="0" customWidth="1"/>
    <col min="5" max="5" width="11.7109375" style="0" customWidth="1"/>
    <col min="6" max="6" width="1.7109375" style="0" customWidth="1"/>
    <col min="7" max="7" width="14.421875" style="0" bestFit="1" customWidth="1"/>
    <col min="8" max="8" width="1.8515625" style="0" customWidth="1"/>
    <col min="9" max="9" width="14.421875" style="0" customWidth="1"/>
    <col min="10" max="10" width="2.140625" style="0" customWidth="1"/>
    <col min="11" max="11" width="16.140625" style="0" bestFit="1" customWidth="1"/>
  </cols>
  <sheetData>
    <row r="1" spans="1:9" ht="12.75">
      <c r="A1" s="20"/>
      <c r="B1" s="20"/>
      <c r="C1" s="11"/>
      <c r="D1" s="11"/>
      <c r="E1" s="20"/>
      <c r="F1" s="20"/>
      <c r="G1" s="30"/>
      <c r="H1" s="11"/>
      <c r="I1" s="11"/>
    </row>
    <row r="2" spans="1:11" ht="15.75">
      <c r="A2" s="8"/>
      <c r="B2" s="7"/>
      <c r="C2" s="8"/>
      <c r="D2" s="8"/>
      <c r="E2" s="8"/>
      <c r="F2" s="7"/>
      <c r="H2" s="11"/>
      <c r="K2" s="134" t="s">
        <v>716</v>
      </c>
    </row>
    <row r="3" spans="1:9" ht="12.75">
      <c r="A3" s="80" t="str">
        <f>'Schedule A'!$A$3</f>
        <v>HUGHES NATURAL GAS </v>
      </c>
      <c r="B3" s="33"/>
      <c r="C3" s="33"/>
      <c r="D3" s="33"/>
      <c r="E3" s="33"/>
      <c r="F3" s="33"/>
      <c r="G3" s="33"/>
      <c r="H3" s="11"/>
      <c r="I3" s="11"/>
    </row>
    <row r="4" spans="1:9" ht="12.75">
      <c r="A4" s="80" t="str">
        <f>'Schedule A'!$A$4</f>
        <v>TEST YEAR ENDING DECEMBER 31, 2006</v>
      </c>
      <c r="B4" s="33"/>
      <c r="C4" s="33"/>
      <c r="D4" s="33"/>
      <c r="E4" s="33"/>
      <c r="F4" s="33"/>
      <c r="G4" s="33"/>
      <c r="H4" s="11"/>
      <c r="I4" s="11"/>
    </row>
    <row r="5" spans="1:9" ht="12.75">
      <c r="A5" s="82"/>
      <c r="B5" s="20"/>
      <c r="C5" s="11"/>
      <c r="D5" s="11"/>
      <c r="E5" s="82"/>
      <c r="F5" s="20"/>
      <c r="G5" s="30"/>
      <c r="H5" s="11"/>
      <c r="I5" s="11"/>
    </row>
    <row r="6" spans="1:9" ht="12.75">
      <c r="A6" s="129" t="s">
        <v>527</v>
      </c>
      <c r="B6" s="33"/>
      <c r="C6" s="33"/>
      <c r="D6" s="33"/>
      <c r="E6" s="33"/>
      <c r="F6" s="33"/>
      <c r="G6" s="33"/>
      <c r="H6" s="11"/>
      <c r="I6" s="11"/>
    </row>
    <row r="7" spans="1:9" ht="13.5" thickBot="1">
      <c r="A7" s="20"/>
      <c r="B7" s="20"/>
      <c r="C7" s="11"/>
      <c r="D7" s="11"/>
      <c r="E7" s="20"/>
      <c r="F7" s="20"/>
      <c r="G7" s="30"/>
      <c r="H7" s="11"/>
      <c r="I7" s="11"/>
    </row>
    <row r="8" spans="1:11" ht="13.5" customHeight="1">
      <c r="A8" s="732" t="s">
        <v>525</v>
      </c>
      <c r="B8" s="74"/>
      <c r="C8" s="98"/>
      <c r="D8" s="13"/>
      <c r="E8" s="732" t="s">
        <v>347</v>
      </c>
      <c r="F8" s="74"/>
      <c r="G8" s="150" t="s">
        <v>522</v>
      </c>
      <c r="H8" s="8"/>
      <c r="I8" s="244"/>
      <c r="K8" s="244"/>
    </row>
    <row r="9" spans="1:11" ht="12.75" customHeight="1" thickBot="1">
      <c r="A9" s="734"/>
      <c r="B9" s="67"/>
      <c r="C9" s="99" t="s">
        <v>553</v>
      </c>
      <c r="D9" s="13"/>
      <c r="E9" s="733"/>
      <c r="F9" s="67"/>
      <c r="G9" s="97" t="s">
        <v>490</v>
      </c>
      <c r="H9" s="8"/>
      <c r="I9" s="246" t="s">
        <v>76</v>
      </c>
      <c r="K9" s="246" t="s">
        <v>731</v>
      </c>
    </row>
    <row r="10" spans="1:11" ht="12.75" customHeight="1">
      <c r="A10" s="63"/>
      <c r="B10" s="63"/>
      <c r="C10" s="17" t="s">
        <v>404</v>
      </c>
      <c r="D10" s="17"/>
      <c r="E10" s="19" t="s">
        <v>405</v>
      </c>
      <c r="F10" s="18"/>
      <c r="G10" s="18" t="s">
        <v>551</v>
      </c>
      <c r="H10" s="8"/>
      <c r="I10" s="18" t="s">
        <v>406</v>
      </c>
      <c r="K10" s="18" t="s">
        <v>550</v>
      </c>
    </row>
    <row r="11" spans="1:11" ht="12.75" customHeight="1">
      <c r="A11" s="63"/>
      <c r="B11" s="63"/>
      <c r="C11" s="31"/>
      <c r="D11" s="31"/>
      <c r="E11" s="63"/>
      <c r="F11" s="63"/>
      <c r="G11" s="101"/>
      <c r="H11" s="8"/>
      <c r="I11" s="8"/>
      <c r="K11" s="8"/>
    </row>
    <row r="12" spans="1:11" ht="12.75" customHeight="1">
      <c r="A12" s="66">
        <v>1</v>
      </c>
      <c r="B12" s="66"/>
      <c r="C12" s="31" t="s">
        <v>339</v>
      </c>
      <c r="D12" s="31"/>
      <c r="E12" s="66" t="s">
        <v>623</v>
      </c>
      <c r="F12" s="63"/>
      <c r="G12" s="101">
        <f>+'Schedule A-1'!Q27</f>
        <v>198820.49282157148</v>
      </c>
      <c r="H12" s="8"/>
      <c r="I12" s="236">
        <v>275665.43891100504</v>
      </c>
      <c r="K12" s="236">
        <f>+'Schedule A-1'!U27</f>
        <v>323456.15642384323</v>
      </c>
    </row>
    <row r="13" spans="1:8" ht="12.75" customHeight="1">
      <c r="A13" s="66"/>
      <c r="B13" s="66"/>
      <c r="C13" s="31"/>
      <c r="D13" s="31"/>
      <c r="E13" s="66"/>
      <c r="F13" s="63"/>
      <c r="G13" s="101"/>
      <c r="H13" s="8"/>
    </row>
    <row r="14" spans="1:11" ht="12.75" customHeight="1" thickBot="1">
      <c r="A14" s="66">
        <f>+A12+1</f>
        <v>2</v>
      </c>
      <c r="B14" s="66"/>
      <c r="C14" s="31" t="s">
        <v>537</v>
      </c>
      <c r="D14" s="31"/>
      <c r="E14" s="66"/>
      <c r="F14" s="63"/>
      <c r="G14" s="235">
        <v>0</v>
      </c>
      <c r="H14" s="8"/>
      <c r="I14" s="235">
        <v>0</v>
      </c>
      <c r="K14" s="235">
        <v>0</v>
      </c>
    </row>
    <row r="15" spans="1:8" ht="12.75" customHeight="1">
      <c r="A15" s="66"/>
      <c r="B15" s="66"/>
      <c r="C15" s="31"/>
      <c r="D15" s="31"/>
      <c r="E15" s="66"/>
      <c r="F15" s="63"/>
      <c r="G15" s="101"/>
      <c r="H15" s="8"/>
    </row>
    <row r="16" spans="1:11" ht="12.75" customHeight="1">
      <c r="A16" s="66">
        <f>+A14+1</f>
        <v>3</v>
      </c>
      <c r="B16" s="66"/>
      <c r="C16" s="31" t="s">
        <v>340</v>
      </c>
      <c r="D16" s="31"/>
      <c r="E16" s="66"/>
      <c r="F16" s="63"/>
      <c r="G16" s="101">
        <f>+G12-G14</f>
        <v>198820.49282157148</v>
      </c>
      <c r="H16" s="8"/>
      <c r="I16" s="237">
        <v>275665.43891100504</v>
      </c>
      <c r="K16" s="237">
        <f>+K12+K14</f>
        <v>323456.15642384323</v>
      </c>
    </row>
    <row r="17" spans="1:8" ht="12.75" customHeight="1">
      <c r="A17" s="66"/>
      <c r="B17" s="66"/>
      <c r="C17" s="31"/>
      <c r="D17" s="31"/>
      <c r="E17" s="66"/>
      <c r="F17" s="63"/>
      <c r="G17" s="101"/>
      <c r="H17" s="8"/>
    </row>
    <row r="18" spans="1:11" ht="12.75" customHeight="1" thickBot="1">
      <c r="A18" s="66">
        <f>+A16+1</f>
        <v>4</v>
      </c>
      <c r="B18" s="66"/>
      <c r="C18" s="31" t="s">
        <v>342</v>
      </c>
      <c r="D18" s="31"/>
      <c r="E18" s="66"/>
      <c r="F18" s="63"/>
      <c r="G18" s="229">
        <f>+0.35/0.65</f>
        <v>0.5384615384615384</v>
      </c>
      <c r="H18" s="8"/>
      <c r="I18" s="238">
        <v>0.5384615384615384</v>
      </c>
      <c r="K18" s="238">
        <f>+G18</f>
        <v>0.5384615384615384</v>
      </c>
    </row>
    <row r="19" spans="1:11" ht="12.75" customHeight="1">
      <c r="A19" s="66"/>
      <c r="B19" s="66"/>
      <c r="C19" s="31"/>
      <c r="D19" s="31"/>
      <c r="E19" s="66"/>
      <c r="F19" s="63"/>
      <c r="G19" s="101"/>
      <c r="H19" s="8"/>
      <c r="I19" s="2"/>
      <c r="K19" s="2"/>
    </row>
    <row r="20" spans="1:11" ht="12.75" customHeight="1" thickBot="1">
      <c r="A20" s="66">
        <f>+A18+1</f>
        <v>5</v>
      </c>
      <c r="B20" s="109"/>
      <c r="C20" s="74" t="s">
        <v>341</v>
      </c>
      <c r="D20" s="74"/>
      <c r="E20" s="109"/>
      <c r="F20" s="74"/>
      <c r="G20" s="230">
        <f>+G16*G18</f>
        <v>107057.18844238463</v>
      </c>
      <c r="H20" s="8"/>
      <c r="I20" s="230">
        <v>148435.236336695</v>
      </c>
      <c r="K20" s="230">
        <f>+K16*K18</f>
        <v>174168.69961283865</v>
      </c>
    </row>
    <row r="21" spans="1:9" ht="13.5" thickTop="1">
      <c r="A21" s="109"/>
      <c r="B21" s="109"/>
      <c r="C21" s="11"/>
      <c r="D21" s="11"/>
      <c r="E21" s="11"/>
      <c r="F21" s="74"/>
      <c r="G21" s="74"/>
      <c r="H21" s="8"/>
      <c r="I21" s="2"/>
    </row>
    <row r="22" spans="1:9" ht="12.75">
      <c r="A22" s="109"/>
      <c r="B22" s="109"/>
      <c r="C22" s="11"/>
      <c r="D22" s="11"/>
      <c r="E22" s="11"/>
      <c r="F22" s="5"/>
      <c r="G22" s="74"/>
      <c r="H22" s="8"/>
      <c r="I22" s="2"/>
    </row>
    <row r="23" spans="1:8" ht="12.75">
      <c r="A23" s="109"/>
      <c r="B23" s="109"/>
      <c r="C23" s="11"/>
      <c r="D23" s="11"/>
      <c r="E23" s="11"/>
      <c r="F23" s="5"/>
      <c r="G23" s="74"/>
      <c r="H23" s="8"/>
    </row>
    <row r="24" spans="1:8" ht="12.75">
      <c r="A24" s="109"/>
      <c r="B24" s="109"/>
      <c r="C24" s="109" t="s">
        <v>418</v>
      </c>
      <c r="D24" s="74"/>
      <c r="E24" s="109"/>
      <c r="F24" s="74"/>
      <c r="G24" s="74"/>
      <c r="H24" s="8"/>
    </row>
    <row r="25" spans="1:8" ht="12.75">
      <c r="A25" s="109"/>
      <c r="B25" s="109"/>
      <c r="C25" s="102" t="s">
        <v>539</v>
      </c>
      <c r="D25" s="102"/>
      <c r="E25" s="58" t="s">
        <v>556</v>
      </c>
      <c r="F25" s="74"/>
      <c r="G25" s="74"/>
      <c r="H25" s="8"/>
    </row>
    <row r="26" spans="1:8" ht="12.75">
      <c r="A26" s="109"/>
      <c r="B26" s="109"/>
      <c r="C26" s="102"/>
      <c r="D26" s="102"/>
      <c r="E26" s="58"/>
      <c r="F26" s="74"/>
      <c r="G26" s="74"/>
      <c r="H26" s="8"/>
    </row>
    <row r="27" spans="1:8" ht="12.75">
      <c r="A27" s="74"/>
      <c r="B27" s="74"/>
      <c r="C27" s="74"/>
      <c r="D27" s="74"/>
      <c r="E27" s="74"/>
      <c r="F27" s="74"/>
      <c r="G27" s="74"/>
      <c r="H27" s="8"/>
    </row>
    <row r="28" spans="1:8" ht="12.75">
      <c r="A28" s="67"/>
      <c r="B28" s="67"/>
      <c r="C28" s="74"/>
      <c r="D28" s="74"/>
      <c r="E28" s="74"/>
      <c r="F28" s="67"/>
      <c r="G28" s="67"/>
      <c r="H28" s="8"/>
    </row>
  </sheetData>
  <mergeCells count="2">
    <mergeCell ref="E8:E9"/>
    <mergeCell ref="A8:A9"/>
  </mergeCells>
  <printOptions horizontalCentered="1"/>
  <pageMargins left="0.5" right="0.5" top="1.75" bottom="0.25" header="0.5" footer="0.5"/>
  <pageSetup horizontalDpi="600" verticalDpi="600" orientation="landscape" scale="85" r:id="rId1"/>
  <headerFooter alignWithMargins="0">
    <oddFooter>&amp;LGUD No. 9732&amp;RFinal Order</oddFooter>
  </headerFooter>
</worksheet>
</file>

<file path=xl/worksheets/sheet5.xml><?xml version="1.0" encoding="utf-8"?>
<worksheet xmlns="http://schemas.openxmlformats.org/spreadsheetml/2006/main" xmlns:r="http://schemas.openxmlformats.org/officeDocument/2006/relationships">
  <sheetPr codeName="Sheet5">
    <tabColor indexed="40"/>
  </sheetPr>
  <dimension ref="A1:I51"/>
  <sheetViews>
    <sheetView zoomScale="75" zoomScaleNormal="75" workbookViewId="0" topLeftCell="A1">
      <selection activeCell="H13" sqref="H13"/>
    </sheetView>
  </sheetViews>
  <sheetFormatPr defaultColWidth="9.140625" defaultRowHeight="12.75"/>
  <cols>
    <col min="1" max="1" width="5.7109375" style="0" customWidth="1"/>
    <col min="2" max="2" width="1.7109375" style="0" customWidth="1"/>
    <col min="3" max="3" width="35.7109375" style="0" customWidth="1"/>
    <col min="4" max="4" width="1.7109375" style="0" customWidth="1"/>
    <col min="5" max="5" width="13.7109375" style="0" customWidth="1"/>
    <col min="6" max="6" width="1.7109375" style="0" customWidth="1"/>
    <col min="7" max="7" width="14.8515625" style="0" bestFit="1" customWidth="1"/>
  </cols>
  <sheetData>
    <row r="1" spans="1:7" ht="12.75">
      <c r="A1" s="20"/>
      <c r="B1" s="20"/>
      <c r="C1" s="11"/>
      <c r="D1" s="11"/>
      <c r="E1" s="11"/>
      <c r="F1" s="11"/>
      <c r="G1" s="30"/>
    </row>
    <row r="2" spans="1:7" ht="15.75">
      <c r="A2" s="9"/>
      <c r="B2" s="20"/>
      <c r="C2" s="11"/>
      <c r="D2" s="11"/>
      <c r="F2" s="11"/>
      <c r="G2" s="134" t="s">
        <v>717</v>
      </c>
    </row>
    <row r="3" spans="1:7" ht="15.75">
      <c r="A3" s="9"/>
      <c r="B3" s="20"/>
      <c r="C3" s="11"/>
      <c r="D3" s="11"/>
      <c r="E3" s="134"/>
      <c r="F3" s="11"/>
      <c r="G3" s="11"/>
    </row>
    <row r="4" spans="1:7" ht="12.75">
      <c r="A4" s="80" t="str">
        <f>'Schedule A'!$A$3</f>
        <v>HUGHES NATURAL GAS </v>
      </c>
      <c r="B4" s="75"/>
      <c r="C4" s="75"/>
      <c r="D4" s="75"/>
      <c r="E4" s="75"/>
      <c r="F4" s="75"/>
      <c r="G4" s="11"/>
    </row>
    <row r="5" spans="1:7" ht="12.75">
      <c r="A5" s="80" t="str">
        <f>'Schedule A'!$A$4</f>
        <v>TEST YEAR ENDING DECEMBER 31, 2006</v>
      </c>
      <c r="B5" s="75"/>
      <c r="C5" s="75"/>
      <c r="D5" s="75"/>
      <c r="E5" s="75"/>
      <c r="F5" s="75"/>
      <c r="G5" s="12"/>
    </row>
    <row r="6" spans="1:7" ht="12.75">
      <c r="A6" s="61"/>
      <c r="B6" s="75"/>
      <c r="C6" s="75"/>
      <c r="D6" s="75"/>
      <c r="E6" s="75"/>
      <c r="F6" s="75"/>
      <c r="G6" s="12"/>
    </row>
    <row r="7" spans="1:7" ht="12.75">
      <c r="A7" s="62" t="s">
        <v>543</v>
      </c>
      <c r="B7" s="75"/>
      <c r="C7" s="75"/>
      <c r="D7" s="75"/>
      <c r="E7" s="75"/>
      <c r="F7" s="75"/>
      <c r="G7" s="12"/>
    </row>
    <row r="8" spans="1:7" ht="12.75">
      <c r="A8" s="62"/>
      <c r="B8" s="75"/>
      <c r="C8" s="75"/>
      <c r="D8" s="75"/>
      <c r="E8" s="75"/>
      <c r="F8" s="75"/>
      <c r="G8" s="12"/>
    </row>
    <row r="9" spans="1:7" ht="12.75">
      <c r="A9" s="62"/>
      <c r="B9" s="75"/>
      <c r="C9" s="75"/>
      <c r="D9" s="75"/>
      <c r="E9" s="704" t="s">
        <v>76</v>
      </c>
      <c r="F9" s="75"/>
      <c r="G9" s="706" t="s">
        <v>731</v>
      </c>
    </row>
    <row r="10" spans="1:7" ht="13.5" thickBot="1">
      <c r="A10" s="20"/>
      <c r="B10" s="20"/>
      <c r="C10" s="11"/>
      <c r="D10" s="11"/>
      <c r="E10" s="11"/>
      <c r="F10" s="11"/>
      <c r="G10" s="12"/>
    </row>
    <row r="11" spans="1:7" ht="12.75">
      <c r="A11" s="96" t="s">
        <v>486</v>
      </c>
      <c r="B11" s="77"/>
      <c r="C11" s="98"/>
      <c r="D11" s="58"/>
      <c r="E11" s="110" t="s">
        <v>521</v>
      </c>
      <c r="F11" s="58"/>
      <c r="G11" s="110" t="s">
        <v>521</v>
      </c>
    </row>
    <row r="12" spans="1:7" ht="13.5" thickBot="1">
      <c r="A12" s="97" t="s">
        <v>520</v>
      </c>
      <c r="B12" s="77"/>
      <c r="C12" s="99" t="s">
        <v>553</v>
      </c>
      <c r="D12" s="58"/>
      <c r="E12" s="94" t="s">
        <v>485</v>
      </c>
      <c r="F12" s="73"/>
      <c r="G12" s="94" t="s">
        <v>485</v>
      </c>
    </row>
    <row r="13" spans="1:7" ht="12.75" customHeight="1">
      <c r="A13" s="17"/>
      <c r="B13" s="77"/>
      <c r="C13" s="17" t="s">
        <v>404</v>
      </c>
      <c r="D13" s="17"/>
      <c r="E13" s="19" t="s">
        <v>405</v>
      </c>
      <c r="F13" s="18"/>
      <c r="G13" s="19" t="s">
        <v>551</v>
      </c>
    </row>
    <row r="14" spans="1:7" ht="12.75" customHeight="1">
      <c r="A14" s="16"/>
      <c r="B14" s="16"/>
      <c r="C14" s="16"/>
      <c r="D14" s="21"/>
      <c r="E14" s="21"/>
      <c r="F14" s="21"/>
      <c r="G14" s="21"/>
    </row>
    <row r="15" spans="1:7" ht="12.75" customHeight="1">
      <c r="A15" s="17">
        <v>1</v>
      </c>
      <c r="B15" s="16"/>
      <c r="C15" s="21" t="s">
        <v>419</v>
      </c>
      <c r="D15" s="21"/>
      <c r="E15" s="23">
        <v>300</v>
      </c>
      <c r="F15" s="23"/>
      <c r="G15" s="23">
        <f>+'Schedule B-1'!E12</f>
        <v>300</v>
      </c>
    </row>
    <row r="16" spans="1:7" ht="12.75" customHeight="1">
      <c r="A16" s="17">
        <v>2</v>
      </c>
      <c r="B16" s="16"/>
      <c r="C16" s="21" t="s">
        <v>420</v>
      </c>
      <c r="D16" s="21"/>
      <c r="E16" s="23">
        <v>3927861.53</v>
      </c>
      <c r="F16" s="23"/>
      <c r="G16" s="23">
        <f>+'Schedule B-1'!E21</f>
        <v>3927861.5300000003</v>
      </c>
    </row>
    <row r="17" spans="1:7" ht="12.75" customHeight="1" thickBot="1">
      <c r="A17" s="17">
        <v>3</v>
      </c>
      <c r="B17" s="16"/>
      <c r="C17" s="21" t="s">
        <v>421</v>
      </c>
      <c r="D17" s="21"/>
      <c r="E17" s="28">
        <v>14948.09</v>
      </c>
      <c r="F17" s="23"/>
      <c r="G17" s="28">
        <f>+'Schedule B-1'!E28</f>
        <v>14948.09</v>
      </c>
    </row>
    <row r="18" spans="1:7" ht="12.75" customHeight="1">
      <c r="A18" s="17">
        <v>4</v>
      </c>
      <c r="B18" s="16"/>
      <c r="C18" s="21" t="s">
        <v>492</v>
      </c>
      <c r="D18" s="21"/>
      <c r="E18" s="23">
        <v>3943109.62</v>
      </c>
      <c r="F18" s="23"/>
      <c r="G18" s="23">
        <f>SUM(G15:G17)</f>
        <v>3943109.62</v>
      </c>
    </row>
    <row r="19" spans="1:7" ht="12.75" customHeight="1">
      <c r="A19" s="17"/>
      <c r="B19" s="16"/>
      <c r="C19" s="21"/>
      <c r="D19" s="21"/>
      <c r="E19" s="23"/>
      <c r="F19" s="23"/>
      <c r="G19" s="23"/>
    </row>
    <row r="20" spans="1:7" ht="12.75" customHeight="1" thickBot="1">
      <c r="A20" s="17">
        <v>5</v>
      </c>
      <c r="B20" s="16"/>
      <c r="C20" s="21" t="s">
        <v>493</v>
      </c>
      <c r="D20" s="21"/>
      <c r="E20" s="28">
        <v>-622624.54</v>
      </c>
      <c r="F20" s="23"/>
      <c r="G20" s="28">
        <f>-'Schedule B-2'!E31</f>
        <v>-622624.54</v>
      </c>
    </row>
    <row r="21" spans="1:7" ht="12.75" customHeight="1">
      <c r="A21" s="17"/>
      <c r="B21" s="16"/>
      <c r="C21" s="21"/>
      <c r="D21" s="21"/>
      <c r="E21" s="23"/>
      <c r="F21" s="23"/>
      <c r="G21" s="23"/>
    </row>
    <row r="22" spans="1:7" ht="12.75" customHeight="1">
      <c r="A22" s="17">
        <v>6</v>
      </c>
      <c r="B22" s="16"/>
      <c r="C22" s="21" t="s">
        <v>523</v>
      </c>
      <c r="D22" s="21"/>
      <c r="E22" s="23">
        <v>3320485.08</v>
      </c>
      <c r="F22" s="23"/>
      <c r="G22" s="23">
        <f>+G20+G18</f>
        <v>3320485.08</v>
      </c>
    </row>
    <row r="23" spans="1:7" ht="12.75" customHeight="1">
      <c r="A23" s="17"/>
      <c r="B23" s="16"/>
      <c r="C23" s="21"/>
      <c r="D23" s="21"/>
      <c r="E23" s="23"/>
      <c r="F23" s="23"/>
      <c r="G23" s="23"/>
    </row>
    <row r="24" spans="1:8" ht="12.75">
      <c r="A24" s="58">
        <v>7</v>
      </c>
      <c r="B24" s="5"/>
      <c r="C24" s="6" t="s">
        <v>515</v>
      </c>
      <c r="D24" s="6"/>
      <c r="E24" s="135">
        <v>-20325</v>
      </c>
      <c r="F24" s="135"/>
      <c r="G24" s="135">
        <f>-'WP1-Sch B'!D29</f>
        <v>-20325</v>
      </c>
      <c r="H24" s="138" t="s">
        <v>439</v>
      </c>
    </row>
    <row r="25" spans="1:7" ht="12.75">
      <c r="A25" s="58"/>
      <c r="B25" s="5"/>
      <c r="C25" s="6"/>
      <c r="D25" s="6"/>
      <c r="E25" s="23"/>
      <c r="F25" s="23"/>
      <c r="G25" s="23"/>
    </row>
    <row r="26" spans="1:7" ht="12.75">
      <c r="A26" s="58">
        <v>8</v>
      </c>
      <c r="B26" s="5"/>
      <c r="C26" s="6" t="s">
        <v>589</v>
      </c>
      <c r="D26" s="6"/>
      <c r="E26" s="135">
        <v>-187979</v>
      </c>
      <c r="F26" s="23"/>
      <c r="G26" s="135">
        <v>-187979</v>
      </c>
    </row>
    <row r="27" spans="1:7" ht="12.75">
      <c r="A27" s="58"/>
      <c r="B27" s="5"/>
      <c r="C27" s="6"/>
      <c r="D27" s="6"/>
      <c r="E27" s="23"/>
      <c r="F27" s="23"/>
      <c r="G27" s="23"/>
    </row>
    <row r="28" spans="1:7" ht="13.5" thickBot="1">
      <c r="A28" s="17">
        <v>9</v>
      </c>
      <c r="B28" s="16"/>
      <c r="C28" s="21" t="s">
        <v>590</v>
      </c>
      <c r="D28" s="21"/>
      <c r="E28" s="28">
        <v>64353.738769202864</v>
      </c>
      <c r="F28" s="23"/>
      <c r="G28" s="28">
        <f>('Schedule C'!N56-'Schedule C'!N54-'Schedule C'!N47)/8</f>
        <v>43488.73876920287</v>
      </c>
    </row>
    <row r="29" spans="1:7" ht="12.75">
      <c r="A29" s="17"/>
      <c r="B29" s="16"/>
      <c r="C29" s="21"/>
      <c r="D29" s="21"/>
      <c r="E29" s="23"/>
      <c r="F29" s="23"/>
      <c r="G29" s="23"/>
    </row>
    <row r="30" spans="1:7" ht="12.75">
      <c r="A30" s="17">
        <v>10</v>
      </c>
      <c r="B30" s="16"/>
      <c r="C30" s="21" t="s">
        <v>422</v>
      </c>
      <c r="D30" s="21"/>
      <c r="E30" s="23">
        <v>3176534.818769203</v>
      </c>
      <c r="F30" s="23"/>
      <c r="G30" s="23">
        <f>SUM(G22:G28)</f>
        <v>3155669.818769203</v>
      </c>
    </row>
    <row r="31" spans="1:7" ht="12.75">
      <c r="A31" s="17"/>
      <c r="B31" s="16"/>
      <c r="C31" s="24"/>
      <c r="D31" s="21"/>
      <c r="E31" s="23"/>
      <c r="F31" s="23"/>
      <c r="G31" s="23"/>
    </row>
    <row r="32" spans="1:7" ht="12.75">
      <c r="A32" s="17">
        <f>+A30+1</f>
        <v>11</v>
      </c>
      <c r="B32" s="16"/>
      <c r="C32" s="21" t="s">
        <v>343</v>
      </c>
      <c r="D32" s="21"/>
      <c r="E32" s="233">
        <v>0.08678180931062983</v>
      </c>
      <c r="F32" s="23"/>
      <c r="G32" s="233">
        <f>+G34/G30</f>
        <v>0.10249999999999998</v>
      </c>
    </row>
    <row r="33" spans="1:9" ht="12.75">
      <c r="A33" s="25"/>
      <c r="B33" s="63"/>
      <c r="C33" s="31"/>
      <c r="D33" s="31"/>
      <c r="E33" s="116"/>
      <c r="F33" s="101"/>
      <c r="G33" s="116"/>
      <c r="H33" s="143"/>
      <c r="I33" s="143"/>
    </row>
    <row r="34" spans="1:9" ht="13.5" thickBot="1">
      <c r="A34" s="17">
        <f>+A32+1</f>
        <v>12</v>
      </c>
      <c r="B34" s="16"/>
      <c r="C34" s="21" t="s">
        <v>465</v>
      </c>
      <c r="D34" s="21"/>
      <c r="E34" s="234">
        <v>275665.43891100504</v>
      </c>
      <c r="F34" s="21"/>
      <c r="G34" s="234">
        <f>+'Schedule A-1'!U27</f>
        <v>323456.15642384323</v>
      </c>
      <c r="H34" s="143"/>
      <c r="I34" s="143"/>
    </row>
    <row r="35" spans="1:9" ht="13.5" thickTop="1">
      <c r="A35" s="6"/>
      <c r="B35" s="16"/>
      <c r="C35" s="21"/>
      <c r="D35" s="21"/>
      <c r="E35" s="160"/>
      <c r="F35" s="21"/>
      <c r="G35" s="59"/>
      <c r="H35" s="143"/>
      <c r="I35" s="143"/>
    </row>
    <row r="36" spans="1:9" ht="12.75">
      <c r="A36" s="57"/>
      <c r="B36" s="16"/>
      <c r="C36" s="21"/>
      <c r="D36" s="21"/>
      <c r="E36" s="161"/>
      <c r="F36" s="21"/>
      <c r="G36" s="59"/>
      <c r="H36" s="143"/>
      <c r="I36" s="143"/>
    </row>
    <row r="37" spans="1:9" ht="12.75">
      <c r="A37" s="17"/>
      <c r="B37" s="16"/>
      <c r="C37" s="6"/>
      <c r="D37" s="21"/>
      <c r="E37" s="103"/>
      <c r="F37" s="21"/>
      <c r="G37" s="59"/>
      <c r="H37" s="143"/>
      <c r="I37" s="143"/>
    </row>
    <row r="38" spans="1:9" ht="12.75">
      <c r="A38" s="57"/>
      <c r="B38" s="16"/>
      <c r="C38" s="21"/>
      <c r="D38" s="21"/>
      <c r="E38" s="103"/>
      <c r="F38" s="21"/>
      <c r="G38" s="59"/>
      <c r="H38" s="143"/>
      <c r="I38" s="143"/>
    </row>
    <row r="39" spans="1:9" ht="12.75">
      <c r="A39" s="6"/>
      <c r="B39" s="16"/>
      <c r="C39" s="6"/>
      <c r="D39" s="21"/>
      <c r="E39" s="23"/>
      <c r="F39" s="21"/>
      <c r="G39" s="59"/>
      <c r="H39" s="143"/>
      <c r="I39" s="143"/>
    </row>
    <row r="40" spans="1:9" ht="12.75">
      <c r="A40" s="6"/>
      <c r="B40" s="16"/>
      <c r="C40" s="6"/>
      <c r="D40" s="21"/>
      <c r="E40" s="23"/>
      <c r="F40" s="21"/>
      <c r="G40" s="59"/>
      <c r="H40" s="143"/>
      <c r="I40" s="143"/>
    </row>
    <row r="41" spans="1:9" ht="12.75">
      <c r="A41" s="57"/>
      <c r="B41" s="16"/>
      <c r="C41" s="57"/>
      <c r="D41" s="21"/>
      <c r="E41" s="161"/>
      <c r="F41" s="103"/>
      <c r="G41" s="59"/>
      <c r="H41" s="143"/>
      <c r="I41" s="143"/>
    </row>
    <row r="42" spans="1:9" ht="12.75">
      <c r="A42" s="6"/>
      <c r="B42" s="16"/>
      <c r="C42" s="6"/>
      <c r="D42" s="21"/>
      <c r="E42" s="103"/>
      <c r="F42" s="103"/>
      <c r="G42" s="59"/>
      <c r="H42" s="143"/>
      <c r="I42" s="143"/>
    </row>
    <row r="43" spans="1:9" ht="12.75">
      <c r="A43" s="125"/>
      <c r="B43" s="16"/>
      <c r="C43" s="6"/>
      <c r="D43" s="21"/>
      <c r="E43" s="103"/>
      <c r="F43" s="103"/>
      <c r="G43" s="59"/>
      <c r="H43" s="143"/>
      <c r="I43" s="143"/>
    </row>
    <row r="44" spans="1:9" ht="12.75">
      <c r="A44" s="125"/>
      <c r="B44" s="16"/>
      <c r="C44" s="6"/>
      <c r="D44" s="21"/>
      <c r="E44" s="103"/>
      <c r="F44" s="103"/>
      <c r="G44" s="59"/>
      <c r="H44" s="143"/>
      <c r="I44" s="143"/>
    </row>
    <row r="45" spans="1:9" ht="12.75">
      <c r="A45" s="57"/>
      <c r="B45" s="16"/>
      <c r="C45" s="6"/>
      <c r="D45" s="21"/>
      <c r="E45" s="23"/>
      <c r="F45" s="23"/>
      <c r="G45" s="59"/>
      <c r="H45" s="143"/>
      <c r="I45" s="143"/>
    </row>
    <row r="46" spans="1:9" ht="12.75">
      <c r="A46" s="6"/>
      <c r="B46" s="16"/>
      <c r="C46" s="6"/>
      <c r="D46" s="21"/>
      <c r="E46" s="23"/>
      <c r="F46" s="23"/>
      <c r="G46" s="59"/>
      <c r="H46" s="143"/>
      <c r="I46" s="143"/>
    </row>
    <row r="47" spans="1:9" ht="12.75">
      <c r="A47" s="6"/>
      <c r="B47" s="16"/>
      <c r="C47" s="6"/>
      <c r="D47" s="21"/>
      <c r="E47" s="23"/>
      <c r="F47" s="23"/>
      <c r="G47" s="59"/>
      <c r="H47" s="143"/>
      <c r="I47" s="143"/>
    </row>
    <row r="48" spans="1:9" ht="12.75">
      <c r="A48" s="6"/>
      <c r="B48" s="16"/>
      <c r="C48" s="6"/>
      <c r="D48" s="21"/>
      <c r="E48" s="23"/>
      <c r="F48" s="23"/>
      <c r="G48" s="59"/>
      <c r="H48" s="143"/>
      <c r="I48" s="143"/>
    </row>
    <row r="49" spans="1:9" ht="12.75">
      <c r="A49" s="118"/>
      <c r="B49" s="63"/>
      <c r="C49" s="25"/>
      <c r="D49" s="31"/>
      <c r="E49" s="101"/>
      <c r="F49" s="101"/>
      <c r="G49" s="59"/>
      <c r="H49" s="143"/>
      <c r="I49" s="143"/>
    </row>
    <row r="50" spans="1:9" ht="12.75">
      <c r="A50" s="17"/>
      <c r="B50" s="16"/>
      <c r="C50" s="24"/>
      <c r="D50" s="21"/>
      <c r="E50" s="117"/>
      <c r="F50" s="23"/>
      <c r="G50" s="59"/>
      <c r="H50" s="143"/>
      <c r="I50" s="143"/>
    </row>
    <row r="51" spans="1:9" ht="12.75">
      <c r="A51" s="17"/>
      <c r="B51" s="16"/>
      <c r="C51" s="21"/>
      <c r="D51" s="21"/>
      <c r="E51" s="23"/>
      <c r="F51" s="23"/>
      <c r="G51" s="59"/>
      <c r="H51" s="143"/>
      <c r="I51" s="143"/>
    </row>
  </sheetData>
  <printOptions horizontalCentered="1"/>
  <pageMargins left="0.25" right="0.24" top="1.5" bottom="0.25" header="0.22" footer="0.24"/>
  <pageSetup horizontalDpi="600" verticalDpi="600" orientation="portrait" scale="90" r:id="rId1"/>
  <headerFooter alignWithMargins="0">
    <oddFooter>&amp;LGUD No. 9731&amp;RFinal Order</oddFooter>
  </headerFooter>
</worksheet>
</file>

<file path=xl/worksheets/sheet6.xml><?xml version="1.0" encoding="utf-8"?>
<worksheet xmlns="http://schemas.openxmlformats.org/spreadsheetml/2006/main" xmlns:r="http://schemas.openxmlformats.org/officeDocument/2006/relationships">
  <sheetPr codeName="Sheet6">
    <tabColor indexed="40"/>
  </sheetPr>
  <dimension ref="A1:I32"/>
  <sheetViews>
    <sheetView zoomScale="75" zoomScaleNormal="75" workbookViewId="0" topLeftCell="A1">
      <selection activeCell="N14" sqref="N14"/>
    </sheetView>
  </sheetViews>
  <sheetFormatPr defaultColWidth="9.140625" defaultRowHeight="12.75"/>
  <cols>
    <col min="1" max="1" width="5.7109375" style="0" customWidth="1"/>
    <col min="2" max="2" width="1.7109375" style="0" customWidth="1"/>
    <col min="3" max="3" width="34.28125" style="0" customWidth="1"/>
    <col min="4" max="4" width="1.7109375" style="0" customWidth="1"/>
    <col min="5" max="5" width="13.7109375" style="0" customWidth="1"/>
    <col min="6" max="6" width="1.7109375" style="0" customWidth="1"/>
    <col min="8" max="8" width="1.7109375" style="0" customWidth="1"/>
    <col min="9" max="9" width="14.421875" style="0" customWidth="1"/>
    <col min="10" max="10" width="2.28125" style="0" customWidth="1"/>
  </cols>
  <sheetData>
    <row r="1" spans="1:9" ht="15.75">
      <c r="A1" s="20"/>
      <c r="B1" s="20"/>
      <c r="C1" s="11"/>
      <c r="D1" s="11"/>
      <c r="E1" s="11"/>
      <c r="F1" s="11"/>
      <c r="G1" s="11"/>
      <c r="I1" s="134" t="s">
        <v>718</v>
      </c>
    </row>
    <row r="2" spans="1:7" ht="12.75">
      <c r="A2" s="20"/>
      <c r="B2" s="20"/>
      <c r="C2" s="11"/>
      <c r="D2" s="11"/>
      <c r="F2" s="11"/>
      <c r="G2" s="11"/>
    </row>
    <row r="3" spans="1:9" ht="12.75">
      <c r="A3" s="735" t="str">
        <f>'Schedule A'!$A$3</f>
        <v>HUGHES NATURAL GAS </v>
      </c>
      <c r="B3" s="736"/>
      <c r="C3" s="736"/>
      <c r="D3" s="736"/>
      <c r="E3" s="736"/>
      <c r="F3" s="736"/>
      <c r="G3" s="736"/>
      <c r="H3" s="736"/>
      <c r="I3" s="736"/>
    </row>
    <row r="4" spans="1:9" ht="12.75">
      <c r="A4" s="735" t="str">
        <f>'Schedule A'!$A$4</f>
        <v>TEST YEAR ENDING DECEMBER 31, 2006</v>
      </c>
      <c r="B4" s="736"/>
      <c r="C4" s="736"/>
      <c r="D4" s="736"/>
      <c r="E4" s="736"/>
      <c r="F4" s="736"/>
      <c r="G4" s="736"/>
      <c r="H4" s="736"/>
      <c r="I4" s="736"/>
    </row>
    <row r="5" spans="1:7" ht="12.75">
      <c r="A5" s="61"/>
      <c r="B5" s="75"/>
      <c r="C5" s="75"/>
      <c r="D5" s="75"/>
      <c r="E5" s="61"/>
      <c r="F5" s="61"/>
      <c r="G5" s="12"/>
    </row>
    <row r="6" spans="1:9" ht="12.75">
      <c r="A6" s="737" t="s">
        <v>483</v>
      </c>
      <c r="B6" s="736"/>
      <c r="C6" s="736"/>
      <c r="D6" s="736"/>
      <c r="E6" s="736"/>
      <c r="F6" s="736"/>
      <c r="G6" s="736"/>
      <c r="H6" s="736"/>
      <c r="I6" s="736"/>
    </row>
    <row r="7" spans="1:7" ht="13.5" thickBot="1">
      <c r="A7" s="7"/>
      <c r="B7" s="7"/>
      <c r="C7" s="8"/>
      <c r="D7" s="8"/>
      <c r="E7" s="11"/>
      <c r="F7" s="10"/>
      <c r="G7" s="12"/>
    </row>
    <row r="8" spans="1:9" ht="12" customHeight="1">
      <c r="A8" s="96" t="s">
        <v>486</v>
      </c>
      <c r="B8" s="77"/>
      <c r="C8" s="98"/>
      <c r="D8" s="58"/>
      <c r="E8" s="110" t="s">
        <v>521</v>
      </c>
      <c r="F8" s="73"/>
      <c r="G8" s="98" t="s">
        <v>457</v>
      </c>
      <c r="I8" s="98" t="s">
        <v>414</v>
      </c>
    </row>
    <row r="9" spans="1:9" ht="24" customHeight="1" thickBot="1">
      <c r="A9" s="97" t="s">
        <v>520</v>
      </c>
      <c r="B9" s="77"/>
      <c r="C9" s="99" t="s">
        <v>553</v>
      </c>
      <c r="D9" s="58"/>
      <c r="E9" s="94" t="s">
        <v>485</v>
      </c>
      <c r="F9" s="73"/>
      <c r="G9" s="167" t="s">
        <v>436</v>
      </c>
      <c r="I9" s="167" t="s">
        <v>435</v>
      </c>
    </row>
    <row r="10" spans="1:9" ht="12.75" customHeight="1">
      <c r="A10" s="17"/>
      <c r="B10" s="77"/>
      <c r="C10" s="17" t="s">
        <v>404</v>
      </c>
      <c r="D10" s="17"/>
      <c r="E10" s="19" t="s">
        <v>405</v>
      </c>
      <c r="F10" s="19"/>
      <c r="G10" s="19" t="s">
        <v>551</v>
      </c>
      <c r="I10" s="19" t="s">
        <v>406</v>
      </c>
    </row>
    <row r="11" spans="1:7" ht="12.75" customHeight="1">
      <c r="A11" s="16"/>
      <c r="B11" s="16"/>
      <c r="C11" s="16"/>
      <c r="D11" s="16"/>
      <c r="E11" s="46"/>
      <c r="F11" s="46"/>
      <c r="G11" s="20"/>
    </row>
    <row r="12" spans="1:7" ht="12.75" customHeight="1">
      <c r="A12" s="17">
        <v>1</v>
      </c>
      <c r="B12" s="16"/>
      <c r="C12" s="56" t="s">
        <v>530</v>
      </c>
      <c r="D12" s="56"/>
      <c r="E12" s="152">
        <f>+'WP1 Sch B-1'!F9</f>
        <v>300</v>
      </c>
      <c r="F12" s="48"/>
      <c r="G12" s="169"/>
    </row>
    <row r="13" spans="1:7" ht="12.75" customHeight="1">
      <c r="A13" s="16"/>
      <c r="B13" s="16"/>
      <c r="C13" s="21"/>
      <c r="D13" s="21"/>
      <c r="E13" s="152"/>
      <c r="F13" s="48"/>
      <c r="G13" s="169"/>
    </row>
    <row r="14" spans="1:7" ht="12.75" customHeight="1">
      <c r="A14" s="16"/>
      <c r="B14" s="16"/>
      <c r="C14" s="24" t="s">
        <v>557</v>
      </c>
      <c r="D14" s="24"/>
      <c r="E14" s="152"/>
      <c r="F14" s="48"/>
      <c r="G14" s="169"/>
    </row>
    <row r="15" spans="1:7" ht="12.75" customHeight="1">
      <c r="A15" s="17">
        <v>2</v>
      </c>
      <c r="B15" s="17"/>
      <c r="C15" s="21" t="s">
        <v>558</v>
      </c>
      <c r="D15" s="21"/>
      <c r="E15" s="152">
        <f>+'WP2 Sch B-1'!F31</f>
        <v>4715</v>
      </c>
      <c r="F15" s="48"/>
      <c r="G15" s="169"/>
    </row>
    <row r="16" spans="1:9" ht="12.75" customHeight="1">
      <c r="A16" s="17">
        <v>3</v>
      </c>
      <c r="B16" s="17"/>
      <c r="C16" s="21" t="s">
        <v>559</v>
      </c>
      <c r="D16" s="21"/>
      <c r="E16" s="152">
        <f>+'WP2 Sch B-1'!F33</f>
        <v>2851297.5500000003</v>
      </c>
      <c r="F16" s="48"/>
      <c r="G16" s="169">
        <v>40</v>
      </c>
      <c r="I16" s="152">
        <f>E16/G16</f>
        <v>71282.43875</v>
      </c>
    </row>
    <row r="17" spans="1:9" ht="12.75" customHeight="1">
      <c r="A17" s="17">
        <v>4</v>
      </c>
      <c r="B17" s="17"/>
      <c r="C17" s="21" t="s">
        <v>531</v>
      </c>
      <c r="D17" s="21"/>
      <c r="E17" s="153">
        <f>+'WP2 Sch B-1'!F35</f>
        <v>322440.79</v>
      </c>
      <c r="F17" s="50"/>
      <c r="G17" s="169">
        <v>33</v>
      </c>
      <c r="I17" s="152">
        <f>E17/G17</f>
        <v>9770.93303030303</v>
      </c>
    </row>
    <row r="18" spans="1:9" ht="12.75" customHeight="1">
      <c r="A18" s="17">
        <v>5</v>
      </c>
      <c r="B18" s="17"/>
      <c r="C18" s="151" t="s">
        <v>540</v>
      </c>
      <c r="D18" s="21"/>
      <c r="E18" s="153">
        <f>+'WP2 Sch B-1'!F36</f>
        <v>502274.54</v>
      </c>
      <c r="F18" s="50"/>
      <c r="G18" s="169">
        <v>20</v>
      </c>
      <c r="I18" s="152">
        <f>E18/G18</f>
        <v>25113.727</v>
      </c>
    </row>
    <row r="19" spans="1:9" ht="12.75" customHeight="1">
      <c r="A19" s="17">
        <v>6</v>
      </c>
      <c r="B19" s="17"/>
      <c r="C19" s="21" t="s">
        <v>470</v>
      </c>
      <c r="D19" s="21"/>
      <c r="E19" s="153">
        <f>+'WP2 Sch B-1'!F37-E20</f>
        <v>178629.53</v>
      </c>
      <c r="F19" s="50"/>
      <c r="G19" s="482">
        <v>25</v>
      </c>
      <c r="I19" s="152">
        <f>E19/G19</f>
        <v>7145.1812</v>
      </c>
    </row>
    <row r="20" spans="1:9" ht="12.75" customHeight="1" thickBot="1">
      <c r="A20" s="17">
        <v>7</v>
      </c>
      <c r="B20" s="17"/>
      <c r="C20" s="21" t="s">
        <v>458</v>
      </c>
      <c r="D20" s="21"/>
      <c r="E20" s="154">
        <v>68504.12</v>
      </c>
      <c r="F20" s="48"/>
      <c r="G20" s="482">
        <v>30</v>
      </c>
      <c r="I20" s="152">
        <f>E20/G20</f>
        <v>2283.4706666666666</v>
      </c>
    </row>
    <row r="21" spans="1:9" ht="12.75" customHeight="1">
      <c r="A21" s="17">
        <f>+A20+1</f>
        <v>8</v>
      </c>
      <c r="B21" s="17"/>
      <c r="C21" s="16" t="s">
        <v>413</v>
      </c>
      <c r="D21" s="16"/>
      <c r="E21" s="152">
        <f>SUM(E15:E20)</f>
        <v>3927861.5300000003</v>
      </c>
      <c r="F21" s="48"/>
      <c r="G21" s="169"/>
      <c r="I21" s="152"/>
    </row>
    <row r="22" spans="1:9" ht="12.75" customHeight="1">
      <c r="A22" s="17"/>
      <c r="B22" s="17"/>
      <c r="C22" s="6"/>
      <c r="D22" s="6"/>
      <c r="E22" s="152"/>
      <c r="F22" s="48"/>
      <c r="G22" s="169"/>
      <c r="I22" s="152"/>
    </row>
    <row r="23" spans="1:9" ht="12.75" customHeight="1">
      <c r="A23" s="17"/>
      <c r="B23" s="17"/>
      <c r="C23" s="57" t="s">
        <v>561</v>
      </c>
      <c r="D23" s="57"/>
      <c r="E23" s="152"/>
      <c r="F23" s="48"/>
      <c r="G23" s="169"/>
      <c r="I23" s="152"/>
    </row>
    <row r="24" spans="1:9" ht="12.75" customHeight="1">
      <c r="A24" s="58">
        <f>+A21+1</f>
        <v>9</v>
      </c>
      <c r="B24" s="58"/>
      <c r="C24" s="51" t="s">
        <v>562</v>
      </c>
      <c r="D24" s="51"/>
      <c r="E24" s="155">
        <f>+'WP2 Sch B-1'!F43</f>
        <v>150</v>
      </c>
      <c r="F24" s="52"/>
      <c r="G24" s="169"/>
      <c r="I24" s="152"/>
    </row>
    <row r="25" spans="1:9" ht="12.75">
      <c r="A25" s="58">
        <v>10</v>
      </c>
      <c r="B25" s="58"/>
      <c r="C25" s="6" t="s">
        <v>563</v>
      </c>
      <c r="D25" s="6"/>
      <c r="E25" s="156">
        <f>+'WP2 Sch B-1'!F45</f>
        <v>3975.45</v>
      </c>
      <c r="F25" s="53"/>
      <c r="G25" s="482">
        <v>10</v>
      </c>
      <c r="I25" s="152">
        <f>E25/G25</f>
        <v>397.54499999999996</v>
      </c>
    </row>
    <row r="26" spans="1:9" ht="12.75">
      <c r="A26" s="58">
        <v>11</v>
      </c>
      <c r="B26" s="58"/>
      <c r="C26" s="6" t="s">
        <v>564</v>
      </c>
      <c r="D26" s="6"/>
      <c r="E26" s="155">
        <f>+'WP2 Sch B-1'!F47</f>
        <v>478.71</v>
      </c>
      <c r="F26" s="52"/>
      <c r="G26" s="482">
        <v>25</v>
      </c>
      <c r="I26" s="152">
        <f>E26/G26</f>
        <v>19.1484</v>
      </c>
    </row>
    <row r="27" spans="1:9" ht="13.5" thickBot="1">
      <c r="A27" s="58">
        <v>12</v>
      </c>
      <c r="B27" s="58"/>
      <c r="C27" s="6" t="s">
        <v>438</v>
      </c>
      <c r="D27" s="6"/>
      <c r="E27" s="157">
        <f>+'WP2 Sch B-1'!F49</f>
        <v>10343.93</v>
      </c>
      <c r="F27" s="52"/>
      <c r="G27" s="482">
        <v>25</v>
      </c>
      <c r="I27" s="152">
        <f>E27/G27</f>
        <v>413.7572</v>
      </c>
    </row>
    <row r="28" spans="1:9" ht="12.75">
      <c r="A28" s="58">
        <v>13</v>
      </c>
      <c r="B28" s="58"/>
      <c r="C28" s="5" t="s">
        <v>487</v>
      </c>
      <c r="D28" s="5"/>
      <c r="E28" s="152">
        <f>SUM(E24:E27)</f>
        <v>14948.09</v>
      </c>
      <c r="F28" s="48"/>
      <c r="G28" s="169"/>
      <c r="I28" s="152"/>
    </row>
    <row r="29" spans="1:9" ht="12.75">
      <c r="A29" s="17"/>
      <c r="B29" s="17"/>
      <c r="C29" s="21"/>
      <c r="D29" s="21"/>
      <c r="E29" s="152"/>
      <c r="F29" s="48"/>
      <c r="G29" s="169"/>
      <c r="I29" s="152"/>
    </row>
    <row r="30" spans="1:9" ht="13.5" thickBot="1">
      <c r="A30" s="17">
        <v>14</v>
      </c>
      <c r="B30" s="16"/>
      <c r="C30" s="24" t="s">
        <v>412</v>
      </c>
      <c r="D30" s="21"/>
      <c r="E30" s="158">
        <f>E21+E28+E12</f>
        <v>3943109.62</v>
      </c>
      <c r="F30" s="48"/>
      <c r="G30" s="168"/>
      <c r="I30" s="170">
        <f>SUM(I14:I29)</f>
        <v>116426.2012469697</v>
      </c>
    </row>
    <row r="31" spans="1:7" ht="13.5" thickTop="1">
      <c r="A31" s="16"/>
      <c r="B31" s="16"/>
      <c r="C31" s="21"/>
      <c r="D31" s="21"/>
      <c r="E31" s="48"/>
      <c r="F31" s="48"/>
      <c r="G31" s="49"/>
    </row>
    <row r="32" spans="1:7" ht="12.75">
      <c r="A32" s="16"/>
      <c r="B32" s="16"/>
      <c r="C32" s="21"/>
      <c r="D32" s="21"/>
      <c r="E32" s="48" t="s">
        <v>439</v>
      </c>
      <c r="F32" s="48"/>
      <c r="G32" s="49"/>
    </row>
  </sheetData>
  <mergeCells count="3">
    <mergeCell ref="A3:I3"/>
    <mergeCell ref="A4:I4"/>
    <mergeCell ref="A6:I6"/>
  </mergeCells>
  <printOptions horizontalCentered="1"/>
  <pageMargins left="0.25" right="0.25" top="1.25" bottom="0.25" header="0.5" footer="0.5"/>
  <pageSetup horizontalDpi="600" verticalDpi="600" orientation="portrait" scale="90" r:id="rId1"/>
  <headerFooter alignWithMargins="0">
    <oddFooter>&amp;LGUD No. 9731&amp;RFinal Order</oddFooter>
  </headerFooter>
</worksheet>
</file>

<file path=xl/worksheets/sheet7.xml><?xml version="1.0" encoding="utf-8"?>
<worksheet xmlns="http://schemas.openxmlformats.org/spreadsheetml/2006/main" xmlns:r="http://schemas.openxmlformats.org/officeDocument/2006/relationships">
  <sheetPr codeName="Sheet7">
    <tabColor indexed="40"/>
  </sheetPr>
  <dimension ref="A1:G33"/>
  <sheetViews>
    <sheetView zoomScale="75" zoomScaleNormal="75" workbookViewId="0" topLeftCell="A1">
      <selection activeCell="G37" sqref="G37"/>
    </sheetView>
  </sheetViews>
  <sheetFormatPr defaultColWidth="9.140625" defaultRowHeight="12.75"/>
  <cols>
    <col min="1" max="1" width="5.7109375" style="0" customWidth="1"/>
    <col min="2" max="2" width="1.7109375" style="0" customWidth="1"/>
    <col min="3" max="3" width="34.28125" style="0" customWidth="1"/>
    <col min="4" max="4" width="1.7109375" style="0" customWidth="1"/>
    <col min="5" max="5" width="14.8515625" style="0" customWidth="1"/>
    <col min="6" max="6" width="1.7109375" style="0" customWidth="1"/>
  </cols>
  <sheetData>
    <row r="1" spans="1:7" ht="12.75">
      <c r="A1" s="20"/>
      <c r="B1" s="20"/>
      <c r="C1" s="11"/>
      <c r="D1" s="11"/>
      <c r="E1" s="11"/>
      <c r="F1" s="11"/>
      <c r="G1" s="11"/>
    </row>
    <row r="2" spans="1:7" ht="15.75">
      <c r="A2" s="77"/>
      <c r="B2" s="77"/>
      <c r="C2" s="78"/>
      <c r="D2" s="78"/>
      <c r="E2" s="134" t="s">
        <v>719</v>
      </c>
      <c r="F2" s="78"/>
      <c r="G2" s="15"/>
    </row>
    <row r="3" spans="1:7" ht="15.75">
      <c r="A3" s="77"/>
      <c r="B3" s="77"/>
      <c r="C3" s="78"/>
      <c r="D3" s="78"/>
      <c r="E3" s="134"/>
      <c r="F3" s="78"/>
      <c r="G3" s="15"/>
    </row>
    <row r="4" spans="1:7" ht="12.75">
      <c r="A4" s="80" t="str">
        <f>'Schedule A'!$A$3</f>
        <v>HUGHES NATURAL GAS </v>
      </c>
      <c r="B4" s="60"/>
      <c r="C4" s="79"/>
      <c r="D4" s="79"/>
      <c r="E4" s="79"/>
      <c r="F4" s="79"/>
      <c r="G4" s="15"/>
    </row>
    <row r="5" spans="1:7" ht="12.75">
      <c r="A5" s="80" t="str">
        <f>'Schedule A'!$A$4</f>
        <v>TEST YEAR ENDING DECEMBER 31, 2006</v>
      </c>
      <c r="B5" s="60"/>
      <c r="C5" s="79"/>
      <c r="D5" s="79"/>
      <c r="E5" s="79"/>
      <c r="F5" s="79"/>
      <c r="G5" s="15"/>
    </row>
    <row r="6" spans="1:7" ht="12.75">
      <c r="A6" s="61"/>
      <c r="B6" s="61"/>
      <c r="C6" s="95"/>
      <c r="D6" s="79"/>
      <c r="E6" s="79"/>
      <c r="F6" s="79"/>
      <c r="G6" s="15"/>
    </row>
    <row r="7" spans="1:7" ht="12.75">
      <c r="A7" s="62" t="s">
        <v>554</v>
      </c>
      <c r="B7" s="62"/>
      <c r="C7" s="79"/>
      <c r="D7" s="79"/>
      <c r="E7" s="79"/>
      <c r="F7" s="79"/>
      <c r="G7" s="15"/>
    </row>
    <row r="8" spans="1:7" ht="13.5" thickBot="1">
      <c r="A8" s="7"/>
      <c r="B8" s="7"/>
      <c r="C8" s="8"/>
      <c r="D8" s="8"/>
      <c r="E8" s="11"/>
      <c r="F8" s="10"/>
      <c r="G8" s="15"/>
    </row>
    <row r="9" spans="1:7" ht="12.75">
      <c r="A9" s="96" t="s">
        <v>486</v>
      </c>
      <c r="B9" s="77"/>
      <c r="C9" s="98"/>
      <c r="D9" s="58"/>
      <c r="E9" s="93" t="s">
        <v>415</v>
      </c>
      <c r="F9" s="73"/>
      <c r="G9" s="15"/>
    </row>
    <row r="10" spans="1:7" ht="13.5" thickBot="1">
      <c r="A10" s="97" t="s">
        <v>520</v>
      </c>
      <c r="B10" s="77"/>
      <c r="C10" s="99" t="s">
        <v>553</v>
      </c>
      <c r="D10" s="58"/>
      <c r="E10" s="94" t="s">
        <v>485</v>
      </c>
      <c r="F10" s="73"/>
      <c r="G10" s="15"/>
    </row>
    <row r="11" spans="1:7" ht="12.75">
      <c r="A11" s="17"/>
      <c r="B11" s="77"/>
      <c r="C11" s="17" t="s">
        <v>404</v>
      </c>
      <c r="D11" s="17"/>
      <c r="E11" s="19" t="s">
        <v>405</v>
      </c>
      <c r="F11" s="19"/>
      <c r="G11" s="15"/>
    </row>
    <row r="12" spans="1:7" ht="12.75" customHeight="1">
      <c r="A12" s="16"/>
      <c r="B12" s="16"/>
      <c r="C12" s="16"/>
      <c r="D12" s="16"/>
      <c r="E12" s="46"/>
      <c r="F12" s="46"/>
      <c r="G12" s="20"/>
    </row>
    <row r="13" spans="1:7" ht="12.75" customHeight="1">
      <c r="A13" s="17">
        <v>1</v>
      </c>
      <c r="B13" s="16"/>
      <c r="C13" s="56" t="s">
        <v>530</v>
      </c>
      <c r="E13" s="152">
        <v>0</v>
      </c>
      <c r="F13" s="152"/>
      <c r="G13" s="49"/>
    </row>
    <row r="14" spans="1:7" ht="12.75" customHeight="1">
      <c r="A14" s="16"/>
      <c r="B14" s="16"/>
      <c r="C14" s="21"/>
      <c r="E14" s="152"/>
      <c r="F14" s="152"/>
      <c r="G14" s="49"/>
    </row>
    <row r="15" spans="1:7" ht="12.75" customHeight="1">
      <c r="A15" s="16"/>
      <c r="B15" s="16"/>
      <c r="C15" s="24" t="s">
        <v>557</v>
      </c>
      <c r="E15" s="152"/>
      <c r="F15" s="152"/>
      <c r="G15" s="49"/>
    </row>
    <row r="16" spans="1:7" ht="12.75" customHeight="1">
      <c r="A16" s="17">
        <v>2</v>
      </c>
      <c r="B16" s="17"/>
      <c r="C16" s="21" t="s">
        <v>558</v>
      </c>
      <c r="E16" s="152">
        <v>0</v>
      </c>
      <c r="F16" s="152"/>
      <c r="G16" s="49"/>
    </row>
    <row r="17" spans="1:7" ht="12.75" customHeight="1">
      <c r="A17" s="17">
        <v>3</v>
      </c>
      <c r="B17" s="17"/>
      <c r="C17" s="21" t="s">
        <v>559</v>
      </c>
      <c r="E17" s="152">
        <f>+'WP1-Sch B-2'!G34</f>
        <v>449625.38999999996</v>
      </c>
      <c r="F17" s="152"/>
      <c r="G17" s="49"/>
    </row>
    <row r="18" spans="1:7" ht="12.75" customHeight="1">
      <c r="A18" s="17">
        <v>4</v>
      </c>
      <c r="B18" s="17"/>
      <c r="C18" s="21" t="s">
        <v>531</v>
      </c>
      <c r="E18" s="153">
        <f>+'WP1-Sch B-2'!G36</f>
        <v>85601.94</v>
      </c>
      <c r="F18" s="153"/>
      <c r="G18" s="49"/>
    </row>
    <row r="19" spans="1:7" ht="12.75" customHeight="1">
      <c r="A19" s="17">
        <v>5</v>
      </c>
      <c r="B19" s="17"/>
      <c r="C19" s="151" t="s">
        <v>540</v>
      </c>
      <c r="E19" s="153">
        <f>+'WP1-Sch B-2'!G37</f>
        <v>44165.59</v>
      </c>
      <c r="F19" s="153"/>
      <c r="G19" s="49"/>
    </row>
    <row r="20" spans="1:7" ht="12.75" customHeight="1">
      <c r="A20" s="17">
        <v>6</v>
      </c>
      <c r="B20" s="17"/>
      <c r="C20" s="151" t="s">
        <v>541</v>
      </c>
      <c r="E20" s="153">
        <f>+'WP1-Sch B-2'!G38</f>
        <v>37409.31</v>
      </c>
      <c r="F20" s="153"/>
      <c r="G20" s="49"/>
    </row>
    <row r="21" spans="1:7" ht="12.75" customHeight="1" thickBot="1">
      <c r="A21" s="17">
        <v>7</v>
      </c>
      <c r="B21" s="17"/>
      <c r="C21" s="21" t="s">
        <v>560</v>
      </c>
      <c r="E21" s="154">
        <v>0</v>
      </c>
      <c r="F21" s="152"/>
      <c r="G21" s="49"/>
    </row>
    <row r="22" spans="1:7" ht="12.75" customHeight="1">
      <c r="A22" s="17">
        <v>8</v>
      </c>
      <c r="B22" s="17"/>
      <c r="C22" s="16" t="s">
        <v>413</v>
      </c>
      <c r="E22" s="152">
        <f>SUM(E16:E21)</f>
        <v>616802.23</v>
      </c>
      <c r="F22" s="152"/>
      <c r="G22" s="49"/>
    </row>
    <row r="23" spans="1:7" ht="12.75" customHeight="1">
      <c r="A23" s="17"/>
      <c r="B23" s="17"/>
      <c r="C23" s="6"/>
      <c r="E23" s="152"/>
      <c r="F23" s="152"/>
      <c r="G23" s="49"/>
    </row>
    <row r="24" spans="1:7" ht="12.75" customHeight="1">
      <c r="A24" s="17"/>
      <c r="B24" s="17"/>
      <c r="C24" s="57" t="s">
        <v>561</v>
      </c>
      <c r="E24" s="152"/>
      <c r="F24" s="152"/>
      <c r="G24" s="49"/>
    </row>
    <row r="25" spans="1:7" ht="12.75" customHeight="1">
      <c r="A25" s="58">
        <f>+A22+1</f>
        <v>9</v>
      </c>
      <c r="B25" s="58"/>
      <c r="C25" s="51" t="s">
        <v>562</v>
      </c>
      <c r="E25" s="155">
        <v>0</v>
      </c>
      <c r="F25" s="155"/>
      <c r="G25" s="49"/>
    </row>
    <row r="26" spans="1:7" ht="12.75">
      <c r="A26" s="58">
        <v>10</v>
      </c>
      <c r="B26" s="58"/>
      <c r="C26" s="6" t="s">
        <v>563</v>
      </c>
      <c r="E26" s="156">
        <f>+'WP1-Sch B-2'!G46</f>
        <v>3550.05</v>
      </c>
      <c r="F26" s="156"/>
      <c r="G26" s="49"/>
    </row>
    <row r="27" spans="1:7" ht="12.75">
      <c r="A27" s="58">
        <v>11</v>
      </c>
      <c r="B27" s="58"/>
      <c r="C27" s="6" t="s">
        <v>564</v>
      </c>
      <c r="E27" s="155">
        <f>+'WP1-Sch B-2'!G48</f>
        <v>172.34</v>
      </c>
      <c r="F27" s="155"/>
      <c r="G27" s="49"/>
    </row>
    <row r="28" spans="1:7" ht="13.5" thickBot="1">
      <c r="A28" s="58">
        <v>12</v>
      </c>
      <c r="B28" s="58"/>
      <c r="C28" s="6" t="s">
        <v>438</v>
      </c>
      <c r="E28" s="157">
        <f>+'WP1-Sch B-2'!G50</f>
        <v>2099.92</v>
      </c>
      <c r="F28" s="155"/>
      <c r="G28" s="49"/>
    </row>
    <row r="29" spans="1:7" ht="12.75">
      <c r="A29" s="58">
        <v>13</v>
      </c>
      <c r="B29" s="58"/>
      <c r="C29" s="5" t="s">
        <v>487</v>
      </c>
      <c r="E29" s="155">
        <f>SUM(E25:E28)</f>
        <v>5822.31</v>
      </c>
      <c r="F29" s="155"/>
      <c r="G29" s="49"/>
    </row>
    <row r="30" spans="1:7" ht="12.75">
      <c r="A30" s="17"/>
      <c r="B30" s="17"/>
      <c r="C30" s="21"/>
      <c r="E30" s="152"/>
      <c r="F30" s="152"/>
      <c r="G30" s="49"/>
    </row>
    <row r="31" spans="1:7" ht="13.5" thickBot="1">
      <c r="A31" s="17">
        <v>14</v>
      </c>
      <c r="B31" s="16"/>
      <c r="C31" s="24" t="s">
        <v>412</v>
      </c>
      <c r="E31" s="158">
        <f>E22+E29</f>
        <v>622624.54</v>
      </c>
      <c r="F31" s="159"/>
      <c r="G31" s="49"/>
    </row>
    <row r="32" spans="1:7" ht="13.5" thickTop="1">
      <c r="A32" s="16"/>
      <c r="B32" s="16"/>
      <c r="C32" s="21"/>
      <c r="E32" s="54"/>
      <c r="F32" s="54"/>
      <c r="G32" s="49"/>
    </row>
    <row r="33" spans="1:7" ht="12.75">
      <c r="A33" s="16"/>
      <c r="B33" s="16"/>
      <c r="C33" s="21"/>
      <c r="E33" s="54"/>
      <c r="F33" s="54"/>
      <c r="G33" s="49"/>
    </row>
  </sheetData>
  <printOptions horizontalCentered="1"/>
  <pageMargins left="0.25" right="0.25" top="1.25" bottom="0.25" header="0.5" footer="0.5"/>
  <pageSetup horizontalDpi="600" verticalDpi="600" orientation="portrait" scale="90" r:id="rId1"/>
  <headerFooter alignWithMargins="0">
    <oddFooter>&amp;LGUD No. 9731&amp;RFinal Order</oddFooter>
  </headerFooter>
</worksheet>
</file>

<file path=xl/worksheets/sheet8.xml><?xml version="1.0" encoding="utf-8"?>
<worksheet xmlns="http://schemas.openxmlformats.org/spreadsheetml/2006/main" xmlns:r="http://schemas.openxmlformats.org/officeDocument/2006/relationships">
  <sheetPr codeName="Sheet8">
    <tabColor indexed="40"/>
    <pageSetUpPr fitToPage="1"/>
  </sheetPr>
  <dimension ref="A1:P58"/>
  <sheetViews>
    <sheetView zoomScale="75" zoomScaleNormal="75" workbookViewId="0" topLeftCell="A1">
      <selection activeCell="J6" sqref="J6"/>
    </sheetView>
  </sheetViews>
  <sheetFormatPr defaultColWidth="9.140625" defaultRowHeight="12.75"/>
  <cols>
    <col min="1" max="1" width="5.7109375" style="0" customWidth="1"/>
    <col min="2" max="2" width="1.7109375" style="0" customWidth="1"/>
    <col min="3" max="3" width="5.7109375" style="0" customWidth="1"/>
    <col min="4" max="4" width="29.28125" style="0" customWidth="1"/>
    <col min="5" max="5" width="1.7109375" style="0" customWidth="1"/>
    <col min="6" max="6" width="14.8515625" style="0" customWidth="1"/>
    <col min="7" max="7" width="1.7109375" style="0" customWidth="1"/>
    <col min="8" max="8" width="13.140625" style="0" customWidth="1"/>
    <col min="9" max="9" width="1.7109375" style="0" customWidth="1"/>
    <col min="10" max="10" width="15.140625" style="0" customWidth="1"/>
    <col min="11" max="11" width="2.421875" style="0" customWidth="1"/>
    <col min="12" max="12" width="14.00390625" style="0" bestFit="1" customWidth="1"/>
    <col min="13" max="13" width="1.7109375" style="0" customWidth="1"/>
    <col min="14" max="14" width="14.28125" style="0" customWidth="1"/>
    <col min="15" max="15" width="9.7109375" style="0" bestFit="1" customWidth="1"/>
  </cols>
  <sheetData>
    <row r="1" spans="1:12" ht="12.75">
      <c r="A1" s="2"/>
      <c r="B1" s="2"/>
      <c r="C1" s="2"/>
      <c r="D1" s="2"/>
      <c r="E1" s="2"/>
      <c r="F1" s="2"/>
      <c r="G1" s="2"/>
      <c r="H1" s="2"/>
      <c r="I1" s="2"/>
      <c r="J1" s="2"/>
      <c r="K1" s="2"/>
      <c r="L1" s="2"/>
    </row>
    <row r="2" spans="1:14" ht="15.75">
      <c r="A2" s="2"/>
      <c r="B2" s="2"/>
      <c r="C2" s="2"/>
      <c r="D2" s="2"/>
      <c r="E2" s="2"/>
      <c r="F2" s="2"/>
      <c r="G2" s="2"/>
      <c r="H2" s="2"/>
      <c r="I2" s="2"/>
      <c r="K2" s="2"/>
      <c r="L2" s="2"/>
      <c r="N2" s="132" t="s">
        <v>720</v>
      </c>
    </row>
    <row r="3" spans="1:12" ht="12.75">
      <c r="A3" s="80" t="str">
        <f>'Schedule A'!$A$3</f>
        <v>HUGHES NATURAL GAS </v>
      </c>
      <c r="B3" s="33"/>
      <c r="C3" s="33"/>
      <c r="D3" s="33"/>
      <c r="E3" s="33"/>
      <c r="F3" s="33"/>
      <c r="G3" s="33"/>
      <c r="H3" s="33"/>
      <c r="I3" s="33"/>
      <c r="J3" s="33"/>
      <c r="K3" s="2"/>
      <c r="L3" s="2"/>
    </row>
    <row r="4" spans="1:12" ht="12.75">
      <c r="A4" s="80" t="str">
        <f>'Schedule A'!$A$4</f>
        <v>TEST YEAR ENDING DECEMBER 31, 2006</v>
      </c>
      <c r="B4" s="33"/>
      <c r="C4" s="33"/>
      <c r="D4" s="33"/>
      <c r="E4" s="33"/>
      <c r="F4" s="33"/>
      <c r="G4" s="33"/>
      <c r="H4" s="33"/>
      <c r="I4" s="33"/>
      <c r="J4" s="33"/>
      <c r="K4" s="2"/>
      <c r="L4" s="2"/>
    </row>
    <row r="5" spans="1:12" ht="7.5" customHeight="1">
      <c r="A5" s="61"/>
      <c r="B5" s="75"/>
      <c r="C5" s="75"/>
      <c r="D5" s="75"/>
      <c r="E5" s="75"/>
      <c r="F5" s="2"/>
      <c r="G5" s="2"/>
      <c r="H5" s="2"/>
      <c r="I5" s="2"/>
      <c r="J5" s="2"/>
      <c r="K5" s="2"/>
      <c r="L5" s="2"/>
    </row>
    <row r="6" spans="1:12" ht="12.75">
      <c r="A6" s="129" t="s">
        <v>479</v>
      </c>
      <c r="B6" s="33"/>
      <c r="C6" s="33"/>
      <c r="D6" s="33"/>
      <c r="E6" s="33"/>
      <c r="F6" s="33"/>
      <c r="G6" s="33"/>
      <c r="H6" s="33"/>
      <c r="I6" s="33"/>
      <c r="J6" s="33"/>
      <c r="K6" s="2"/>
      <c r="L6" s="2"/>
    </row>
    <row r="7" spans="1:12" ht="12.75">
      <c r="A7" s="129"/>
      <c r="B7" s="33"/>
      <c r="C7" s="33"/>
      <c r="D7" s="33"/>
      <c r="E7" s="33"/>
      <c r="F7" s="33"/>
      <c r="G7" s="33"/>
      <c r="H7" s="33"/>
      <c r="I7" s="33"/>
      <c r="J7" s="33"/>
      <c r="K7" s="2"/>
      <c r="L7" s="2"/>
    </row>
    <row r="8" spans="1:14" ht="12.75">
      <c r="A8" s="129"/>
      <c r="B8" s="33"/>
      <c r="C8" s="33"/>
      <c r="D8" s="33"/>
      <c r="E8" s="33"/>
      <c r="F8" s="33"/>
      <c r="G8" s="33"/>
      <c r="H8" s="738" t="s">
        <v>76</v>
      </c>
      <c r="I8" s="738"/>
      <c r="J8" s="738"/>
      <c r="K8" s="2"/>
      <c r="L8" s="738" t="s">
        <v>731</v>
      </c>
      <c r="M8" s="738"/>
      <c r="N8" s="738"/>
    </row>
    <row r="9" spans="1:12" ht="13.5" thickBot="1">
      <c r="A9" s="20"/>
      <c r="B9" s="20"/>
      <c r="C9" s="11"/>
      <c r="D9" s="11"/>
      <c r="E9" s="11"/>
      <c r="F9" s="6"/>
      <c r="G9" s="6"/>
      <c r="H9" s="6"/>
      <c r="I9" s="6"/>
      <c r="J9" s="6"/>
      <c r="K9" s="6"/>
      <c r="L9" s="6"/>
    </row>
    <row r="10" spans="1:14" ht="12.75">
      <c r="A10" s="114" t="s">
        <v>486</v>
      </c>
      <c r="B10" s="63"/>
      <c r="C10" s="111"/>
      <c r="D10" s="87"/>
      <c r="E10" s="2"/>
      <c r="F10" s="147" t="s">
        <v>485</v>
      </c>
      <c r="G10" s="6"/>
      <c r="H10" s="147" t="s">
        <v>498</v>
      </c>
      <c r="I10" s="6"/>
      <c r="J10" s="147" t="s">
        <v>591</v>
      </c>
      <c r="K10" s="6"/>
      <c r="L10" s="147" t="s">
        <v>498</v>
      </c>
      <c r="M10" s="6"/>
      <c r="N10" s="147" t="s">
        <v>591</v>
      </c>
    </row>
    <row r="11" spans="1:14" ht="13.5" thickBot="1">
      <c r="A11" s="115" t="s">
        <v>552</v>
      </c>
      <c r="B11" s="63"/>
      <c r="C11" s="112" t="s">
        <v>553</v>
      </c>
      <c r="D11" s="113"/>
      <c r="E11" s="4"/>
      <c r="F11" s="86" t="s">
        <v>490</v>
      </c>
      <c r="G11" s="6"/>
      <c r="H11" s="86" t="s">
        <v>499</v>
      </c>
      <c r="I11" s="6"/>
      <c r="J11" s="86" t="s">
        <v>490</v>
      </c>
      <c r="K11" s="6"/>
      <c r="L11" s="86" t="s">
        <v>499</v>
      </c>
      <c r="M11" s="6"/>
      <c r="N11" s="86" t="s">
        <v>490</v>
      </c>
    </row>
    <row r="12" spans="1:14" ht="12.75">
      <c r="A12" s="63"/>
      <c r="B12" s="63"/>
      <c r="C12" s="34" t="s">
        <v>404</v>
      </c>
      <c r="D12" s="34"/>
      <c r="E12" s="34"/>
      <c r="F12" s="146" t="s">
        <v>405</v>
      </c>
      <c r="G12" s="6"/>
      <c r="H12" s="146" t="s">
        <v>551</v>
      </c>
      <c r="I12" s="6"/>
      <c r="J12" s="146" t="s">
        <v>406</v>
      </c>
      <c r="K12" s="6"/>
      <c r="L12" s="146" t="s">
        <v>550</v>
      </c>
      <c r="M12" s="6"/>
      <c r="N12" s="146" t="s">
        <v>555</v>
      </c>
    </row>
    <row r="13" spans="1:14" ht="12.75">
      <c r="A13" s="2"/>
      <c r="B13" s="2"/>
      <c r="C13" s="4" t="s">
        <v>480</v>
      </c>
      <c r="D13" s="4"/>
      <c r="E13" s="4"/>
      <c r="F13" s="2"/>
      <c r="G13" s="2"/>
      <c r="H13" s="2"/>
      <c r="I13" s="2"/>
      <c r="J13" s="39"/>
      <c r="K13" s="2"/>
      <c r="L13" s="2"/>
      <c r="M13" s="2"/>
      <c r="N13" s="39"/>
    </row>
    <row r="14" spans="1:14" ht="6" customHeight="1">
      <c r="A14" s="3"/>
      <c r="B14" s="2"/>
      <c r="C14" s="2"/>
      <c r="D14" s="2"/>
      <c r="E14" s="2"/>
      <c r="F14" s="55"/>
      <c r="G14" s="2"/>
      <c r="H14" s="55"/>
      <c r="I14" s="55"/>
      <c r="J14" s="55"/>
      <c r="K14" s="55"/>
      <c r="L14" s="55"/>
      <c r="M14" s="55"/>
      <c r="N14" s="55"/>
    </row>
    <row r="15" spans="1:14" ht="13.5">
      <c r="A15" s="3"/>
      <c r="B15" s="2"/>
      <c r="C15" s="68" t="s">
        <v>496</v>
      </c>
      <c r="D15" s="68"/>
      <c r="E15" s="68"/>
      <c r="F15" s="55"/>
      <c r="G15" s="2"/>
      <c r="H15" s="55"/>
      <c r="I15" s="55"/>
      <c r="J15" s="55"/>
      <c r="K15" s="55"/>
      <c r="L15" s="55"/>
      <c r="M15" s="55"/>
      <c r="N15" s="55"/>
    </row>
    <row r="16" spans="1:14" ht="12.75">
      <c r="A16" s="3">
        <v>1</v>
      </c>
      <c r="B16" s="2"/>
      <c r="C16" s="2" t="s">
        <v>593</v>
      </c>
      <c r="D16" s="2"/>
      <c r="E16" s="2"/>
      <c r="F16" s="55">
        <f>+'WP1 Sch C'!D25</f>
        <v>92554.96</v>
      </c>
      <c r="G16" s="2"/>
      <c r="H16" s="55">
        <v>19434.134907879212</v>
      </c>
      <c r="I16" s="55"/>
      <c r="J16" s="55">
        <v>111989.09490787922</v>
      </c>
      <c r="K16" s="55"/>
      <c r="L16" s="55">
        <f>+'Schedule C-1'!H14+'Schedule C-1'!H15</f>
        <v>-52485.86509212079</v>
      </c>
      <c r="M16" s="55"/>
      <c r="N16" s="55">
        <f>+L16+F16</f>
        <v>40069.09490787922</v>
      </c>
    </row>
    <row r="17" spans="1:14" ht="12.75">
      <c r="A17" s="3">
        <v>2</v>
      </c>
      <c r="B17" s="2"/>
      <c r="C17" s="2" t="s">
        <v>468</v>
      </c>
      <c r="D17" s="2"/>
      <c r="E17" s="2"/>
      <c r="F17" s="55">
        <f>+'WP1 Sch C'!D29</f>
        <v>42189.19</v>
      </c>
      <c r="G17" s="2"/>
      <c r="H17" s="55">
        <v>0</v>
      </c>
      <c r="I17" s="55"/>
      <c r="J17" s="55">
        <v>42189.19</v>
      </c>
      <c r="K17" s="55"/>
      <c r="L17" s="55">
        <v>0</v>
      </c>
      <c r="M17" s="55"/>
      <c r="N17" s="55">
        <f>+L17+F17</f>
        <v>42189.19</v>
      </c>
    </row>
    <row r="18" spans="1:14" ht="12.75">
      <c r="A18" s="3">
        <v>3</v>
      </c>
      <c r="B18" s="2"/>
      <c r="C18" s="2" t="s">
        <v>501</v>
      </c>
      <c r="D18" s="2"/>
      <c r="E18" s="2"/>
      <c r="F18" s="55">
        <f>+'WP1 Sch C'!D33</f>
        <v>44.89</v>
      </c>
      <c r="G18" s="2"/>
      <c r="H18" s="55">
        <v>0</v>
      </c>
      <c r="I18" s="55"/>
      <c r="J18" s="55">
        <v>44.89</v>
      </c>
      <c r="K18" s="55"/>
      <c r="L18" s="55">
        <v>0</v>
      </c>
      <c r="M18" s="55"/>
      <c r="N18" s="55">
        <f>+L18+F18</f>
        <v>44.89</v>
      </c>
    </row>
    <row r="19" spans="1:14" ht="5.25" customHeight="1">
      <c r="A19" s="3"/>
      <c r="B19" s="2"/>
      <c r="C19" s="2" t="s">
        <v>439</v>
      </c>
      <c r="D19" s="2"/>
      <c r="E19" s="2"/>
      <c r="F19" s="55"/>
      <c r="G19" s="2"/>
      <c r="H19" s="55"/>
      <c r="I19" s="55"/>
      <c r="J19" s="55"/>
      <c r="K19" s="55"/>
      <c r="L19" s="55"/>
      <c r="M19" s="55"/>
      <c r="N19" s="55"/>
    </row>
    <row r="20" spans="1:14" ht="13.5">
      <c r="A20" s="3"/>
      <c r="B20" s="2"/>
      <c r="C20" s="68" t="s">
        <v>497</v>
      </c>
      <c r="D20" s="68"/>
      <c r="E20" s="68"/>
      <c r="F20" s="55"/>
      <c r="G20" s="2"/>
      <c r="H20" s="55"/>
      <c r="I20" s="55"/>
      <c r="J20" s="55"/>
      <c r="K20" s="55"/>
      <c r="L20" s="55"/>
      <c r="M20" s="55"/>
      <c r="N20" s="55"/>
    </row>
    <row r="21" spans="1:14" ht="12.75">
      <c r="A21" s="3">
        <v>4</v>
      </c>
      <c r="B21" s="2"/>
      <c r="C21" s="2" t="s">
        <v>469</v>
      </c>
      <c r="D21" s="2"/>
      <c r="E21" s="2"/>
      <c r="F21" s="55">
        <f>+'WP1 Sch C'!D37</f>
        <v>13470</v>
      </c>
      <c r="G21" s="2"/>
      <c r="H21" s="55">
        <v>3030.4321802809172</v>
      </c>
      <c r="I21" s="55"/>
      <c r="J21" s="55">
        <v>16500.432180280917</v>
      </c>
      <c r="K21" s="55"/>
      <c r="L21" s="55">
        <f>+'Schedule C-1'!H17</f>
        <v>3030.4321802809172</v>
      </c>
      <c r="M21" s="55"/>
      <c r="N21" s="55">
        <f>+L21+F21</f>
        <v>16500.432180280917</v>
      </c>
    </row>
    <row r="22" spans="1:14" ht="12.75">
      <c r="A22" s="3">
        <v>5</v>
      </c>
      <c r="B22" s="2"/>
      <c r="C22" s="2" t="s">
        <v>566</v>
      </c>
      <c r="D22" s="2"/>
      <c r="E22" s="2"/>
      <c r="F22" s="55">
        <f>+'WP1 Sch C'!D45</f>
        <v>992.16</v>
      </c>
      <c r="G22" s="2"/>
      <c r="H22" s="55">
        <v>0</v>
      </c>
      <c r="I22" s="55"/>
      <c r="J22" s="55">
        <v>992.16</v>
      </c>
      <c r="K22" s="55"/>
      <c r="L22" s="55">
        <v>0</v>
      </c>
      <c r="M22" s="55"/>
      <c r="N22" s="55">
        <f>+L22+F22</f>
        <v>992.16</v>
      </c>
    </row>
    <row r="23" spans="1:14" ht="13.5" thickBot="1">
      <c r="A23" s="3">
        <v>6</v>
      </c>
      <c r="B23" s="2"/>
      <c r="C23" s="2" t="s">
        <v>567</v>
      </c>
      <c r="D23" s="2"/>
      <c r="E23" s="2"/>
      <c r="F23" s="104">
        <f>+'WP1 Sch C'!D46</f>
        <v>1480.73</v>
      </c>
      <c r="G23" s="2"/>
      <c r="H23" s="104">
        <v>0</v>
      </c>
      <c r="I23" s="55"/>
      <c r="J23" s="104">
        <v>1480.73</v>
      </c>
      <c r="K23" s="55"/>
      <c r="L23" s="104">
        <v>0</v>
      </c>
      <c r="M23" s="55"/>
      <c r="N23" s="104">
        <f>+L23+F23</f>
        <v>1480.73</v>
      </c>
    </row>
    <row r="24" spans="1:14" ht="13.5">
      <c r="A24" s="3">
        <v>7</v>
      </c>
      <c r="B24" s="2"/>
      <c r="C24" s="68" t="s">
        <v>491</v>
      </c>
      <c r="D24" s="68"/>
      <c r="E24" s="68"/>
      <c r="F24" s="55">
        <f>SUM(F14:F23)</f>
        <v>150731.93000000005</v>
      </c>
      <c r="G24" s="2"/>
      <c r="H24" s="55">
        <v>22464.56708816013</v>
      </c>
      <c r="I24" s="55"/>
      <c r="J24" s="55">
        <v>173196.49708816016</v>
      </c>
      <c r="K24" s="55"/>
      <c r="L24" s="55">
        <f>+L21+L16</f>
        <v>-49455.432911839875</v>
      </c>
      <c r="M24" s="55"/>
      <c r="N24" s="55">
        <f>SUM(N14:N23)</f>
        <v>101276.49708816013</v>
      </c>
    </row>
    <row r="25" spans="1:14" ht="6" customHeight="1">
      <c r="A25" s="3"/>
      <c r="B25" s="2"/>
      <c r="C25" s="2" t="s">
        <v>439</v>
      </c>
      <c r="D25" s="2"/>
      <c r="E25" s="2"/>
      <c r="F25" s="55"/>
      <c r="G25" s="2"/>
      <c r="H25" s="55"/>
      <c r="I25" s="55"/>
      <c r="J25" s="55"/>
      <c r="K25" s="55"/>
      <c r="L25" s="55"/>
      <c r="M25" s="55"/>
      <c r="N25" s="55"/>
    </row>
    <row r="26" spans="1:14" ht="12.75">
      <c r="A26" s="3"/>
      <c r="B26" s="2"/>
      <c r="C26" s="4" t="s">
        <v>423</v>
      </c>
      <c r="D26" s="4"/>
      <c r="E26" s="4"/>
      <c r="F26" s="55"/>
      <c r="G26" s="2"/>
      <c r="H26" s="55"/>
      <c r="I26" s="55"/>
      <c r="J26" s="55"/>
      <c r="K26" s="55"/>
      <c r="L26" s="55"/>
      <c r="M26" s="55"/>
      <c r="N26" s="55"/>
    </row>
    <row r="27" spans="1:14" ht="13.5">
      <c r="A27" s="3"/>
      <c r="B27" s="2"/>
      <c r="C27" s="68" t="s">
        <v>424</v>
      </c>
      <c r="D27" s="68"/>
      <c r="E27" s="68"/>
      <c r="F27" s="55"/>
      <c r="G27" s="2"/>
      <c r="H27" s="55"/>
      <c r="I27" s="55"/>
      <c r="J27" s="55"/>
      <c r="K27" s="55"/>
      <c r="L27" s="55"/>
      <c r="M27" s="55"/>
      <c r="N27" s="55"/>
    </row>
    <row r="28" spans="1:14" ht="12.75">
      <c r="A28" s="3">
        <v>8</v>
      </c>
      <c r="B28" s="2"/>
      <c r="C28" s="2" t="s">
        <v>502</v>
      </c>
      <c r="D28" s="2"/>
      <c r="E28" s="2"/>
      <c r="F28" s="55">
        <f>+'WP1 Sch C'!D49</f>
        <v>14661</v>
      </c>
      <c r="G28" s="2"/>
      <c r="H28" s="55">
        <v>5108.717198530025</v>
      </c>
      <c r="I28" s="55"/>
      <c r="J28" s="55">
        <v>19769.717198530023</v>
      </c>
      <c r="K28" s="55"/>
      <c r="L28" s="55">
        <f>+'Schedule C-1'!H22+'Schedule C-1'!H23</f>
        <v>5108.717198530025</v>
      </c>
      <c r="M28" s="55"/>
      <c r="N28" s="55">
        <f>+L28+F28</f>
        <v>19769.717198530023</v>
      </c>
    </row>
    <row r="29" spans="1:14" ht="12.75">
      <c r="A29" s="3">
        <v>9</v>
      </c>
      <c r="B29" s="2"/>
      <c r="C29" s="148" t="s">
        <v>565</v>
      </c>
      <c r="D29" s="2"/>
      <c r="E29" s="2"/>
      <c r="F29" s="55">
        <f>+'WP1 Sch C'!D50</f>
        <v>18700</v>
      </c>
      <c r="G29" s="2"/>
      <c r="H29" s="55">
        <v>3500</v>
      </c>
      <c r="I29" s="55"/>
      <c r="J29" s="55">
        <v>22200</v>
      </c>
      <c r="K29" s="55"/>
      <c r="L29" s="55">
        <f>+'Schedule C-1'!H27</f>
        <v>3500</v>
      </c>
      <c r="M29" s="55"/>
      <c r="N29" s="55">
        <f>+L29+F29</f>
        <v>22200</v>
      </c>
    </row>
    <row r="30" spans="1:14" ht="12.75">
      <c r="A30" s="3">
        <v>10</v>
      </c>
      <c r="B30" s="2"/>
      <c r="C30" s="2" t="s">
        <v>568</v>
      </c>
      <c r="D30" s="2"/>
      <c r="E30" s="2"/>
      <c r="F30" s="55">
        <f>+'WP1 Sch C'!D51</f>
        <v>26454</v>
      </c>
      <c r="G30" s="2"/>
      <c r="H30" s="55">
        <v>10678.254516783163</v>
      </c>
      <c r="I30" s="55"/>
      <c r="J30" s="55">
        <v>37132.25451678316</v>
      </c>
      <c r="K30" s="55"/>
      <c r="L30" s="55">
        <f>'Schedule C-1'!H24+'Schedule C-1'!H25</f>
        <v>10678.254516783163</v>
      </c>
      <c r="M30" s="55"/>
      <c r="N30" s="55">
        <f>+L30+F30</f>
        <v>37132.25451678316</v>
      </c>
    </row>
    <row r="31" spans="1:14" ht="13.5" thickBot="1">
      <c r="A31" s="3">
        <v>11</v>
      </c>
      <c r="B31" s="2"/>
      <c r="C31" s="2" t="s">
        <v>569</v>
      </c>
      <c r="D31" s="2"/>
      <c r="E31" s="2"/>
      <c r="F31" s="104">
        <f>+'WP1 Sch C'!D52</f>
        <v>12300.74</v>
      </c>
      <c r="G31" s="2"/>
      <c r="H31" s="104">
        <v>3417.2675993546964</v>
      </c>
      <c r="I31" s="55"/>
      <c r="J31" s="104">
        <v>15718.007599354696</v>
      </c>
      <c r="K31" s="55"/>
      <c r="L31" s="104">
        <f>'Schedule C-1'!H26</f>
        <v>3417.2675993546964</v>
      </c>
      <c r="M31" s="55"/>
      <c r="N31" s="104">
        <f>+L31+F31</f>
        <v>15718.007599354696</v>
      </c>
    </row>
    <row r="32" spans="1:14" ht="5.25" customHeight="1">
      <c r="A32" s="3"/>
      <c r="B32" s="2"/>
      <c r="C32" s="2"/>
      <c r="D32" s="2"/>
      <c r="E32" s="2"/>
      <c r="F32" s="55"/>
      <c r="G32" s="2"/>
      <c r="H32" s="55"/>
      <c r="I32" s="55"/>
      <c r="J32" s="55"/>
      <c r="K32" s="55"/>
      <c r="L32" s="55"/>
      <c r="M32" s="55"/>
      <c r="N32" s="55"/>
    </row>
    <row r="33" spans="1:14" ht="13.5">
      <c r="A33" s="3">
        <v>12</v>
      </c>
      <c r="B33" s="2"/>
      <c r="C33" s="68" t="s">
        <v>491</v>
      </c>
      <c r="D33" s="68"/>
      <c r="E33" s="68"/>
      <c r="F33" s="55">
        <f>SUM(F28:F32)</f>
        <v>72115.74</v>
      </c>
      <c r="G33" s="2"/>
      <c r="H33" s="55">
        <v>22704.23931466788</v>
      </c>
      <c r="I33" s="55"/>
      <c r="J33" s="55">
        <v>94819.97931466787</v>
      </c>
      <c r="K33" s="55"/>
      <c r="L33" s="55">
        <f>SUM(L28:L32)</f>
        <v>22704.23931466788</v>
      </c>
      <c r="M33" s="55"/>
      <c r="N33" s="55">
        <f>SUM(N28:N32)</f>
        <v>94819.97931466787</v>
      </c>
    </row>
    <row r="34" spans="1:14" ht="6" customHeight="1">
      <c r="A34" s="3"/>
      <c r="B34" s="2"/>
      <c r="C34" s="2" t="s">
        <v>439</v>
      </c>
      <c r="D34" s="2"/>
      <c r="E34" s="2"/>
      <c r="F34" s="55"/>
      <c r="G34" s="2"/>
      <c r="H34" s="55"/>
      <c r="I34" s="55"/>
      <c r="J34" s="55"/>
      <c r="K34" s="55"/>
      <c r="L34" s="55"/>
      <c r="M34" s="55"/>
      <c r="N34" s="55"/>
    </row>
    <row r="35" spans="1:14" ht="12.75">
      <c r="A35" s="3"/>
      <c r="B35" s="2"/>
      <c r="C35" s="4" t="s">
        <v>494</v>
      </c>
      <c r="D35" s="4"/>
      <c r="E35" s="4"/>
      <c r="F35" s="55"/>
      <c r="G35" s="2"/>
      <c r="H35" s="55"/>
      <c r="I35" s="55"/>
      <c r="J35" s="55"/>
      <c r="K35" s="55"/>
      <c r="L35" s="55"/>
      <c r="M35" s="55"/>
      <c r="N35" s="55"/>
    </row>
    <row r="36" spans="1:14" ht="12.75">
      <c r="A36" s="3">
        <f>+A33+1</f>
        <v>13</v>
      </c>
      <c r="B36" s="2"/>
      <c r="C36" s="2" t="s">
        <v>440</v>
      </c>
      <c r="D36" s="2"/>
      <c r="E36" s="2"/>
      <c r="F36" s="55">
        <f>+'WP2 Sch C'!D23</f>
        <v>76281</v>
      </c>
      <c r="G36" s="2"/>
      <c r="H36" s="55">
        <v>22666.17294410446</v>
      </c>
      <c r="I36" s="55"/>
      <c r="J36" s="55">
        <v>98947.17294410446</v>
      </c>
      <c r="K36" s="55"/>
      <c r="L36" s="55">
        <f>+'Schedule C-1'!H31+'Schedule C-1'!H32</f>
        <v>-72333.82705589554</v>
      </c>
      <c r="M36" s="55"/>
      <c r="N36" s="55">
        <f aca="true" t="shared" si="0" ref="N36:N42">+L36+F36</f>
        <v>3947.172944104459</v>
      </c>
    </row>
    <row r="37" spans="1:14" ht="12.75">
      <c r="A37" s="3">
        <f aca="true" t="shared" si="1" ref="A37:A43">+A36+1</f>
        <v>14</v>
      </c>
      <c r="B37" s="2"/>
      <c r="C37" s="2" t="s">
        <v>441</v>
      </c>
      <c r="D37" s="2"/>
      <c r="E37" s="2"/>
      <c r="F37" s="55">
        <f>+'WP2 Sch C'!D24</f>
        <v>26862.94</v>
      </c>
      <c r="G37" s="2"/>
      <c r="H37" s="55">
        <v>3015.9044066905044</v>
      </c>
      <c r="I37" s="55"/>
      <c r="J37" s="55">
        <v>29878.844406690503</v>
      </c>
      <c r="K37" s="55"/>
      <c r="L37" s="55">
        <f>'Schedule C-1'!H34</f>
        <v>3015.9044066905044</v>
      </c>
      <c r="M37" s="55"/>
      <c r="N37" s="55">
        <f t="shared" si="0"/>
        <v>29878.844406690503</v>
      </c>
    </row>
    <row r="38" spans="1:14" ht="12.75">
      <c r="A38" s="3">
        <v>15</v>
      </c>
      <c r="B38" s="2"/>
      <c r="C38" s="2" t="s">
        <v>442</v>
      </c>
      <c r="D38" s="2"/>
      <c r="E38" s="2"/>
      <c r="F38" s="55">
        <f>+'WP2 Sch C'!D26</f>
        <v>62147.93</v>
      </c>
      <c r="G38" s="2"/>
      <c r="H38" s="55">
        <v>0</v>
      </c>
      <c r="I38" s="55"/>
      <c r="J38" s="55">
        <v>62147.93</v>
      </c>
      <c r="K38" s="55"/>
      <c r="L38" s="55">
        <v>0</v>
      </c>
      <c r="M38" s="55"/>
      <c r="N38" s="55">
        <f t="shared" si="0"/>
        <v>62147.93</v>
      </c>
    </row>
    <row r="39" spans="1:14" ht="12.75">
      <c r="A39" s="3">
        <f t="shared" si="1"/>
        <v>16</v>
      </c>
      <c r="B39" s="2"/>
      <c r="C39" s="2" t="s">
        <v>443</v>
      </c>
      <c r="D39" s="2"/>
      <c r="E39" s="2"/>
      <c r="F39" s="55">
        <f>+'WP2 Sch C'!D27</f>
        <v>20428</v>
      </c>
      <c r="G39" s="2"/>
      <c r="H39" s="55">
        <v>0</v>
      </c>
      <c r="I39" s="55"/>
      <c r="J39" s="55">
        <v>20428</v>
      </c>
      <c r="K39" s="55"/>
      <c r="L39" s="55">
        <v>0</v>
      </c>
      <c r="M39" s="55"/>
      <c r="N39" s="55">
        <f t="shared" si="0"/>
        <v>20428</v>
      </c>
    </row>
    <row r="40" spans="1:14" ht="12.75">
      <c r="A40" s="3">
        <f t="shared" si="1"/>
        <v>17</v>
      </c>
      <c r="B40" s="2"/>
      <c r="C40" s="2" t="s">
        <v>572</v>
      </c>
      <c r="D40" s="2"/>
      <c r="E40" s="2"/>
      <c r="F40" s="55">
        <f>+'WP2 Sch C'!D29</f>
        <v>15810</v>
      </c>
      <c r="G40" s="2"/>
      <c r="H40" s="55">
        <v>8744.4864</v>
      </c>
      <c r="I40" s="55"/>
      <c r="J40" s="55">
        <v>24554.4864</v>
      </c>
      <c r="K40" s="55"/>
      <c r="L40" s="55">
        <f>+'Schedule C-1'!H33</f>
        <v>8744.4864</v>
      </c>
      <c r="M40" s="55"/>
      <c r="N40" s="55">
        <f t="shared" si="0"/>
        <v>24554.4864</v>
      </c>
    </row>
    <row r="41" spans="1:14" ht="12.75">
      <c r="A41" s="3">
        <f t="shared" si="1"/>
        <v>18</v>
      </c>
      <c r="B41" s="2"/>
      <c r="C41" s="2" t="s">
        <v>573</v>
      </c>
      <c r="D41" s="2"/>
      <c r="E41" s="2"/>
      <c r="F41" s="55">
        <f>+'WP2 Sch C'!D34</f>
        <v>297</v>
      </c>
      <c r="G41" s="2"/>
      <c r="H41" s="55">
        <v>0</v>
      </c>
      <c r="I41" s="55"/>
      <c r="J41" s="55">
        <v>297</v>
      </c>
      <c r="K41" s="55"/>
      <c r="L41" s="55">
        <v>0</v>
      </c>
      <c r="M41" s="55"/>
      <c r="N41" s="55">
        <f t="shared" si="0"/>
        <v>297</v>
      </c>
    </row>
    <row r="42" spans="1:14" ht="13.5" thickBot="1">
      <c r="A42" s="3">
        <f t="shared" si="1"/>
        <v>19</v>
      </c>
      <c r="B42" s="2"/>
      <c r="C42" s="2" t="s">
        <v>574</v>
      </c>
      <c r="D42" s="2"/>
      <c r="E42" s="2"/>
      <c r="F42" s="104">
        <f>+'WP2 Sch C'!D35</f>
        <v>10160</v>
      </c>
      <c r="G42" s="2"/>
      <c r="H42" s="104">
        <v>400</v>
      </c>
      <c r="I42" s="55"/>
      <c r="J42" s="104">
        <v>10560</v>
      </c>
      <c r="K42" s="55"/>
      <c r="L42" s="104">
        <f>'Schedule C-1'!H35</f>
        <v>400</v>
      </c>
      <c r="M42" s="55"/>
      <c r="N42" s="104">
        <f t="shared" si="0"/>
        <v>10560</v>
      </c>
    </row>
    <row r="43" spans="1:16" ht="13.5">
      <c r="A43" s="3">
        <f t="shared" si="1"/>
        <v>20</v>
      </c>
      <c r="B43" s="2"/>
      <c r="C43" s="68" t="s">
        <v>491</v>
      </c>
      <c r="D43" s="68"/>
      <c r="E43" s="68"/>
      <c r="F43" s="55">
        <f>SUM(F36:F42)</f>
        <v>211986.87</v>
      </c>
      <c r="G43" s="2"/>
      <c r="H43" s="55">
        <v>34826.563750794965</v>
      </c>
      <c r="I43" s="55"/>
      <c r="J43" s="55">
        <v>246813.43375079497</v>
      </c>
      <c r="K43" s="55"/>
      <c r="L43" s="55">
        <f>SUM(L36:L42)</f>
        <v>-60173.436249205035</v>
      </c>
      <c r="M43" s="55"/>
      <c r="N43" s="55">
        <f>SUM(N36:N42)</f>
        <v>151813.43375079497</v>
      </c>
      <c r="P43" s="138">
        <f>N33+N43</f>
        <v>246633.41306546284</v>
      </c>
    </row>
    <row r="44" spans="1:14" ht="7.5" customHeight="1">
      <c r="A44" s="3"/>
      <c r="B44" s="2"/>
      <c r="C44" s="1"/>
      <c r="D44" s="1"/>
      <c r="E44" s="1"/>
      <c r="F44" s="55"/>
      <c r="G44" s="2"/>
      <c r="H44" s="55"/>
      <c r="I44" s="55"/>
      <c r="J44" s="55"/>
      <c r="K44" s="55"/>
      <c r="L44" s="55"/>
      <c r="M44" s="55"/>
      <c r="N44" s="55"/>
    </row>
    <row r="45" spans="1:14" ht="12.75">
      <c r="A45" s="3"/>
      <c r="B45" s="2"/>
      <c r="C45" s="4" t="s">
        <v>426</v>
      </c>
      <c r="D45" s="4"/>
      <c r="E45" s="4"/>
      <c r="F45" s="55"/>
      <c r="G45" s="2"/>
      <c r="H45" s="55"/>
      <c r="I45" s="55"/>
      <c r="J45" s="55"/>
      <c r="K45" s="55"/>
      <c r="L45" s="55"/>
      <c r="M45" s="55"/>
      <c r="N45" s="55"/>
    </row>
    <row r="46" spans="1:14" ht="13.5" thickBot="1">
      <c r="A46" s="3">
        <f>+A43+1</f>
        <v>21</v>
      </c>
      <c r="B46" s="2"/>
      <c r="C46" s="2" t="s">
        <v>575</v>
      </c>
      <c r="D46" s="2"/>
      <c r="E46" s="2"/>
      <c r="F46" s="104">
        <f>+'WP2 Sch C'!D41+'WP2 Sch C'!D42</f>
        <v>88860.14</v>
      </c>
      <c r="G46" s="2"/>
      <c r="H46" s="104">
        <v>27566.061246969693</v>
      </c>
      <c r="I46" s="55"/>
      <c r="J46" s="104">
        <v>116426.2012469697</v>
      </c>
      <c r="K46" s="55"/>
      <c r="L46" s="104">
        <f>+'Schedule C-1'!H39</f>
        <v>27566.061246969693</v>
      </c>
      <c r="M46" s="55"/>
      <c r="N46" s="104">
        <f>+L46+F46</f>
        <v>116426.2012469697</v>
      </c>
    </row>
    <row r="47" spans="1:14" ht="13.5">
      <c r="A47" s="3">
        <f>+A46+1</f>
        <v>22</v>
      </c>
      <c r="B47" s="2"/>
      <c r="C47" s="68" t="s">
        <v>491</v>
      </c>
      <c r="D47" s="68"/>
      <c r="E47" s="68"/>
      <c r="F47" s="55">
        <f>+F46</f>
        <v>88860.14</v>
      </c>
      <c r="G47" s="2"/>
      <c r="H47" s="55">
        <v>27566.061246969693</v>
      </c>
      <c r="I47" s="55"/>
      <c r="J47" s="55">
        <v>116426.2012469697</v>
      </c>
      <c r="K47" s="55"/>
      <c r="L47" s="55">
        <f>+L46</f>
        <v>27566.061246969693</v>
      </c>
      <c r="M47" s="55"/>
      <c r="N47" s="55">
        <f>+N46</f>
        <v>116426.2012469697</v>
      </c>
    </row>
    <row r="48" spans="1:14" ht="6" customHeight="1">
      <c r="A48" s="3"/>
      <c r="B48" s="2"/>
      <c r="C48" s="2"/>
      <c r="D48" s="2"/>
      <c r="E48" s="2"/>
      <c r="F48" s="55"/>
      <c r="G48" s="2"/>
      <c r="H48" s="55"/>
      <c r="I48" s="55"/>
      <c r="J48" s="55"/>
      <c r="K48" s="55"/>
      <c r="L48" s="55"/>
      <c r="M48" s="55"/>
      <c r="N48" s="55"/>
    </row>
    <row r="49" spans="1:14" ht="12.75">
      <c r="A49" s="3"/>
      <c r="B49" s="2"/>
      <c r="C49" s="4" t="s">
        <v>495</v>
      </c>
      <c r="D49" s="4"/>
      <c r="E49" s="4"/>
      <c r="F49" s="55"/>
      <c r="G49" s="2"/>
      <c r="H49" s="55"/>
      <c r="I49" s="55"/>
      <c r="J49" s="55"/>
      <c r="K49" s="55"/>
      <c r="L49" s="55"/>
      <c r="M49" s="55"/>
      <c r="N49" s="55"/>
    </row>
    <row r="50" spans="1:14" ht="12.75">
      <c r="A50" s="3">
        <f>+A47+1</f>
        <v>23</v>
      </c>
      <c r="B50" s="2"/>
      <c r="C50" s="2" t="s">
        <v>576</v>
      </c>
      <c r="D50" s="2"/>
      <c r="E50" s="2"/>
      <c r="F50" s="171">
        <f>+'WP2 Sch C'!D44</f>
        <v>10256</v>
      </c>
      <c r="G50" s="174"/>
      <c r="H50" s="171">
        <v>3682.2064381369864</v>
      </c>
      <c r="I50" s="171"/>
      <c r="J50" s="171">
        <v>13938.206438136986</v>
      </c>
      <c r="K50" s="55"/>
      <c r="L50" s="171">
        <f>+'Schedule C-1'!H42+'Schedule C-1'!H43</f>
        <v>3682.2064381369864</v>
      </c>
      <c r="M50" s="171"/>
      <c r="N50" s="171">
        <f>+L50+F50</f>
        <v>13938.206438136986</v>
      </c>
    </row>
    <row r="51" spans="1:14" ht="12.75">
      <c r="A51" s="3">
        <f>+A50+1</f>
        <v>24</v>
      </c>
      <c r="B51" s="2"/>
      <c r="C51" s="2" t="s">
        <v>577</v>
      </c>
      <c r="D51" s="2"/>
      <c r="E51" s="2"/>
      <c r="F51" s="55">
        <v>0</v>
      </c>
      <c r="G51" s="2"/>
      <c r="H51" s="55">
        <v>0</v>
      </c>
      <c r="I51" s="55"/>
      <c r="J51" s="55">
        <v>0</v>
      </c>
      <c r="K51" s="55"/>
      <c r="L51" s="55">
        <v>0</v>
      </c>
      <c r="M51" s="55"/>
      <c r="N51" s="55">
        <f>+L51+F51</f>
        <v>0</v>
      </c>
    </row>
    <row r="52" spans="1:14" ht="12.75">
      <c r="A52" s="3">
        <f>+A51+1</f>
        <v>25</v>
      </c>
      <c r="B52" s="2"/>
      <c r="C52" s="2" t="s">
        <v>578</v>
      </c>
      <c r="D52" s="2"/>
      <c r="E52" s="2"/>
      <c r="F52" s="55">
        <v>0</v>
      </c>
      <c r="G52" s="2"/>
      <c r="H52" s="55">
        <v>3940.4623070486723</v>
      </c>
      <c r="I52" s="55"/>
      <c r="J52" s="55">
        <v>3940.4623070486723</v>
      </c>
      <c r="K52" s="55"/>
      <c r="L52" s="55">
        <f>+'Schedule C-1'!H44</f>
        <v>3940.4623070486723</v>
      </c>
      <c r="M52" s="55"/>
      <c r="N52" s="55">
        <f>+L52+F52</f>
        <v>3940.4623070486723</v>
      </c>
    </row>
    <row r="53" spans="1:14" ht="13.5" thickBot="1">
      <c r="A53" s="3">
        <f>+A52+1</f>
        <v>26</v>
      </c>
      <c r="B53" s="2"/>
      <c r="C53" s="2" t="s">
        <v>579</v>
      </c>
      <c r="D53" s="2"/>
      <c r="E53" s="2"/>
      <c r="F53" s="104">
        <v>0</v>
      </c>
      <c r="G53" s="2"/>
      <c r="H53" s="104">
        <v>0</v>
      </c>
      <c r="I53" s="55"/>
      <c r="J53" s="104">
        <v>0</v>
      </c>
      <c r="K53" s="55"/>
      <c r="L53" s="104">
        <v>0</v>
      </c>
      <c r="M53" s="55"/>
      <c r="N53" s="104">
        <f>+L53+F53</f>
        <v>0</v>
      </c>
    </row>
    <row r="54" spans="1:14" ht="13.5">
      <c r="A54" s="3">
        <v>27</v>
      </c>
      <c r="B54" s="2"/>
      <c r="C54" s="68" t="s">
        <v>491</v>
      </c>
      <c r="D54" s="68"/>
      <c r="E54" s="68"/>
      <c r="F54" s="38">
        <f>SUM(F50:F53)</f>
        <v>10256</v>
      </c>
      <c r="G54" s="2"/>
      <c r="H54" s="55">
        <v>7622.668745185659</v>
      </c>
      <c r="I54" s="55"/>
      <c r="J54" s="55">
        <v>17878.668745185656</v>
      </c>
      <c r="K54" s="55"/>
      <c r="L54" s="55">
        <f>SUM(L50:L53)</f>
        <v>7622.668745185659</v>
      </c>
      <c r="M54" s="55"/>
      <c r="N54" s="55">
        <f>SUM(N50:N53)</f>
        <v>17878.668745185656</v>
      </c>
    </row>
    <row r="55" spans="1:14" ht="7.5" customHeight="1">
      <c r="A55" s="3"/>
      <c r="B55" s="2"/>
      <c r="C55" s="47" t="s">
        <v>439</v>
      </c>
      <c r="D55" s="47"/>
      <c r="E55" s="47"/>
      <c r="F55" s="2"/>
      <c r="G55" s="2"/>
      <c r="H55" s="55"/>
      <c r="I55" s="55"/>
      <c r="J55" s="55"/>
      <c r="K55" s="55"/>
      <c r="L55" s="55"/>
      <c r="M55" s="55"/>
      <c r="N55" s="55"/>
    </row>
    <row r="56" spans="1:14" ht="13.5" thickBot="1">
      <c r="A56" s="3">
        <f>+A54+1</f>
        <v>28</v>
      </c>
      <c r="B56" s="2"/>
      <c r="C56" s="1" t="s">
        <v>425</v>
      </c>
      <c r="D56" s="1"/>
      <c r="E56" s="1"/>
      <c r="F56" s="128">
        <f>+F54+F47+F43+F33+F24</f>
        <v>533950.68</v>
      </c>
      <c r="G56" s="55"/>
      <c r="H56" s="128">
        <v>115184.10014577831</v>
      </c>
      <c r="I56" s="55"/>
      <c r="J56" s="128">
        <v>649134.7801457783</v>
      </c>
      <c r="K56" s="55"/>
      <c r="L56" s="128">
        <f>+L54+L47+L43+L33+L24</f>
        <v>-51735.89985422168</v>
      </c>
      <c r="M56" s="55"/>
      <c r="N56" s="128">
        <f>+N54+N47+N43+N33+N24</f>
        <v>482214.7801457783</v>
      </c>
    </row>
    <row r="57" spans="1:12" ht="13.5" thickTop="1">
      <c r="A57" s="2"/>
      <c r="B57" s="2"/>
      <c r="C57" s="2"/>
      <c r="D57" s="2"/>
      <c r="E57" s="2"/>
      <c r="F57" s="2"/>
      <c r="G57" s="2"/>
      <c r="H57" s="55"/>
      <c r="I57" s="55"/>
      <c r="J57" s="55"/>
      <c r="K57" s="55"/>
      <c r="L57" s="55"/>
    </row>
    <row r="58" spans="1:12" ht="12.75">
      <c r="A58" s="2"/>
      <c r="B58" s="2"/>
      <c r="C58" s="2"/>
      <c r="D58" s="2"/>
      <c r="E58" s="2"/>
      <c r="F58" s="2"/>
      <c r="G58" s="2"/>
      <c r="H58" s="55"/>
      <c r="I58" s="55"/>
      <c r="J58" s="55"/>
      <c r="K58" s="55"/>
      <c r="L58" s="55"/>
    </row>
  </sheetData>
  <mergeCells count="2">
    <mergeCell ref="H8:J8"/>
    <mergeCell ref="L8:N8"/>
  </mergeCells>
  <printOptions horizontalCentered="1"/>
  <pageMargins left="0.75" right="0.5" top="1.25" bottom="0" header="0.17" footer="0.2"/>
  <pageSetup fitToHeight="1" fitToWidth="1" horizontalDpi="600" verticalDpi="600" orientation="portrait" scale="76" r:id="rId1"/>
  <headerFooter alignWithMargins="0">
    <oddFooter>&amp;LGUD No. 9731&amp;RFinal Order</oddFooter>
  </headerFooter>
</worksheet>
</file>

<file path=xl/worksheets/sheet9.xml><?xml version="1.0" encoding="utf-8"?>
<worksheet xmlns="http://schemas.openxmlformats.org/spreadsheetml/2006/main" xmlns:r="http://schemas.openxmlformats.org/officeDocument/2006/relationships">
  <sheetPr codeName="Sheet9">
    <tabColor indexed="40"/>
    <pageSetUpPr fitToPage="1"/>
  </sheetPr>
  <dimension ref="A1:X53"/>
  <sheetViews>
    <sheetView zoomScale="75" zoomScaleNormal="75" workbookViewId="0" topLeftCell="A4">
      <selection activeCell="R23" sqref="R23"/>
    </sheetView>
  </sheetViews>
  <sheetFormatPr defaultColWidth="9.140625" defaultRowHeight="12.75"/>
  <cols>
    <col min="1" max="1" width="5.7109375" style="0" customWidth="1"/>
    <col min="2" max="2" width="1.7109375" style="0" customWidth="1"/>
    <col min="3" max="3" width="5.7109375" style="0" customWidth="1"/>
    <col min="4" max="4" width="32.8515625" style="0" customWidth="1"/>
    <col min="5" max="5" width="1.7109375" style="0" customWidth="1"/>
    <col min="6" max="6" width="17.421875" style="0" customWidth="1"/>
    <col min="7" max="7" width="1.8515625" style="0" customWidth="1"/>
    <col min="8" max="8" width="16.7109375" style="0" bestFit="1" customWidth="1"/>
    <col min="9" max="9" width="2.140625" style="0" customWidth="1"/>
    <col min="15" max="15" width="8.00390625" style="0" customWidth="1"/>
    <col min="16" max="16" width="4.140625" style="0" customWidth="1"/>
    <col min="17" max="17" width="1.7109375" style="0" customWidth="1"/>
    <col min="18" max="18" width="4.8515625" style="0" customWidth="1"/>
    <col min="19" max="19" width="4.00390625" style="0" customWidth="1"/>
  </cols>
  <sheetData>
    <row r="1" spans="1:21" ht="15.75">
      <c r="A1" s="2"/>
      <c r="B1" s="2"/>
      <c r="C1" s="2"/>
      <c r="D1" s="2"/>
      <c r="E1" s="2"/>
      <c r="F1" s="2"/>
      <c r="G1" s="2"/>
      <c r="H1" s="2"/>
      <c r="I1" s="2"/>
      <c r="J1" s="2"/>
      <c r="K1" s="2"/>
      <c r="L1" s="2"/>
      <c r="M1" s="2"/>
      <c r="N1" s="2"/>
      <c r="O1" s="2"/>
      <c r="P1" s="2"/>
      <c r="Q1" s="2"/>
      <c r="R1" s="2"/>
      <c r="S1" s="131"/>
      <c r="T1" s="2"/>
      <c r="U1" s="2"/>
    </row>
    <row r="2" spans="1:21" ht="15.75">
      <c r="A2" s="2"/>
      <c r="B2" s="2"/>
      <c r="C2" s="2"/>
      <c r="D2" s="2"/>
      <c r="E2" s="2"/>
      <c r="F2" s="2"/>
      <c r="G2" s="2"/>
      <c r="H2" s="2"/>
      <c r="I2" s="2"/>
      <c r="J2" s="2"/>
      <c r="K2" s="2"/>
      <c r="L2" s="2"/>
      <c r="M2" s="2"/>
      <c r="N2" s="2"/>
      <c r="O2" s="132" t="s">
        <v>721</v>
      </c>
      <c r="P2" s="2"/>
      <c r="Q2" s="1"/>
      <c r="T2" s="2"/>
      <c r="U2" s="2"/>
    </row>
    <row r="3" spans="1:21" ht="12.75">
      <c r="A3" s="80" t="str">
        <f>'Schedule A'!$A$3</f>
        <v>HUGHES NATURAL GAS </v>
      </c>
      <c r="B3" s="33"/>
      <c r="C3" s="33"/>
      <c r="D3" s="33"/>
      <c r="E3" s="33"/>
      <c r="F3" s="33"/>
      <c r="G3" s="33"/>
      <c r="H3" s="33"/>
      <c r="I3" s="33"/>
      <c r="J3" s="33"/>
      <c r="K3" s="33"/>
      <c r="L3" s="33"/>
      <c r="M3" s="33"/>
      <c r="N3" s="33"/>
      <c r="O3" s="33"/>
      <c r="P3" s="33"/>
      <c r="Q3" s="33"/>
      <c r="R3" s="33"/>
      <c r="S3" s="33"/>
      <c r="T3" s="2"/>
      <c r="U3" s="2"/>
    </row>
    <row r="4" spans="1:21" ht="12.75">
      <c r="A4" s="80" t="str">
        <f>'Schedule A'!$A$4</f>
        <v>TEST YEAR ENDING DECEMBER 31, 2006</v>
      </c>
      <c r="B4" s="33"/>
      <c r="C4" s="33"/>
      <c r="D4" s="33"/>
      <c r="E4" s="33"/>
      <c r="F4" s="33"/>
      <c r="G4" s="33"/>
      <c r="H4" s="33"/>
      <c r="I4" s="33"/>
      <c r="J4" s="33"/>
      <c r="K4" s="33"/>
      <c r="L4" s="33"/>
      <c r="M4" s="33"/>
      <c r="N4" s="33"/>
      <c r="O4" s="33"/>
      <c r="P4" s="33"/>
      <c r="Q4" s="33"/>
      <c r="R4" s="33"/>
      <c r="S4" s="33"/>
      <c r="T4" s="2"/>
      <c r="U4" s="2"/>
    </row>
    <row r="5" spans="1:21" ht="12.75">
      <c r="A5" s="61"/>
      <c r="B5" s="75"/>
      <c r="C5" s="75"/>
      <c r="D5" s="75"/>
      <c r="E5" s="75"/>
      <c r="F5" s="33"/>
      <c r="G5" s="33"/>
      <c r="H5" s="33"/>
      <c r="I5" s="33"/>
      <c r="J5" s="33"/>
      <c r="K5" s="33"/>
      <c r="L5" s="33"/>
      <c r="M5" s="33"/>
      <c r="N5" s="33"/>
      <c r="O5" s="33"/>
      <c r="P5" s="33"/>
      <c r="Q5" s="33"/>
      <c r="R5" s="33"/>
      <c r="S5" s="33"/>
      <c r="T5" s="2"/>
      <c r="U5" s="2"/>
    </row>
    <row r="6" spans="1:21" ht="12.75">
      <c r="A6" s="62" t="s">
        <v>403</v>
      </c>
      <c r="B6" s="33"/>
      <c r="C6" s="33"/>
      <c r="D6" s="33"/>
      <c r="E6" s="33"/>
      <c r="F6" s="33"/>
      <c r="G6" s="33"/>
      <c r="H6" s="33"/>
      <c r="I6" s="33"/>
      <c r="J6" s="33"/>
      <c r="K6" s="33"/>
      <c r="L6" s="33"/>
      <c r="M6" s="33"/>
      <c r="N6" s="33"/>
      <c r="O6" s="33"/>
      <c r="P6" s="33"/>
      <c r="Q6" s="33"/>
      <c r="R6" s="33"/>
      <c r="S6" s="33"/>
      <c r="T6" s="2"/>
      <c r="U6" s="2"/>
    </row>
    <row r="7" spans="1:21" ht="13.5" thickBot="1">
      <c r="A7" s="2"/>
      <c r="B7" s="2"/>
      <c r="C7" s="2"/>
      <c r="D7" s="2"/>
      <c r="E7" s="2"/>
      <c r="F7" s="2"/>
      <c r="G7" s="2"/>
      <c r="H7" s="2"/>
      <c r="I7" s="2"/>
      <c r="J7" s="2"/>
      <c r="K7" s="2"/>
      <c r="L7" s="2"/>
      <c r="M7" s="2"/>
      <c r="N7" s="2"/>
      <c r="O7" s="2"/>
      <c r="P7" s="2"/>
      <c r="Q7" s="2"/>
      <c r="R7" s="2"/>
      <c r="S7" s="2"/>
      <c r="T7" s="2"/>
      <c r="U7" s="2"/>
    </row>
    <row r="8" spans="1:21" ht="12.75">
      <c r="A8" s="114" t="s">
        <v>486</v>
      </c>
      <c r="B8" s="63"/>
      <c r="C8" s="111"/>
      <c r="D8" s="87"/>
      <c r="E8" s="2"/>
      <c r="F8" s="147" t="s">
        <v>437</v>
      </c>
      <c r="G8" s="2"/>
      <c r="H8" s="147" t="s">
        <v>437</v>
      </c>
      <c r="I8" s="2"/>
      <c r="J8" s="741" t="s">
        <v>669</v>
      </c>
      <c r="K8" s="739"/>
      <c r="L8" s="739"/>
      <c r="M8" s="739"/>
      <c r="N8" s="739"/>
      <c r="O8" s="742"/>
      <c r="P8" s="58"/>
      <c r="Q8" s="58"/>
      <c r="R8" s="58"/>
      <c r="S8" s="58"/>
      <c r="T8" s="2"/>
      <c r="U8" s="2"/>
    </row>
    <row r="9" spans="1:21" ht="13.5" thickBot="1">
      <c r="A9" s="115" t="s">
        <v>552</v>
      </c>
      <c r="B9" s="63"/>
      <c r="C9" s="112" t="s">
        <v>553</v>
      </c>
      <c r="D9" s="113"/>
      <c r="E9" s="2"/>
      <c r="F9" s="86" t="s">
        <v>76</v>
      </c>
      <c r="G9" s="2"/>
      <c r="H9" s="86" t="s">
        <v>731</v>
      </c>
      <c r="I9" s="2"/>
      <c r="J9" s="126"/>
      <c r="K9" s="42"/>
      <c r="L9" s="42"/>
      <c r="M9" s="42"/>
      <c r="N9" s="42"/>
      <c r="O9" s="127"/>
      <c r="P9" s="6"/>
      <c r="Q9" s="6"/>
      <c r="R9" s="6"/>
      <c r="S9" s="6"/>
      <c r="T9" s="2"/>
      <c r="U9" s="2"/>
    </row>
    <row r="10" spans="1:21" ht="12.75">
      <c r="A10" s="66"/>
      <c r="B10" s="63"/>
      <c r="C10" s="739" t="s">
        <v>404</v>
      </c>
      <c r="D10" s="740"/>
      <c r="E10" s="34"/>
      <c r="F10" s="34" t="s">
        <v>405</v>
      </c>
      <c r="G10" s="2"/>
      <c r="H10" s="34" t="s">
        <v>551</v>
      </c>
      <c r="I10" s="2"/>
      <c r="J10" s="743" t="s">
        <v>406</v>
      </c>
      <c r="K10" s="743"/>
      <c r="L10" s="743"/>
      <c r="M10" s="743"/>
      <c r="N10" s="743"/>
      <c r="O10" s="743"/>
      <c r="P10" s="74"/>
      <c r="Q10" s="74"/>
      <c r="R10" s="74"/>
      <c r="S10" s="74"/>
      <c r="T10" s="2"/>
      <c r="U10" s="2"/>
    </row>
    <row r="11" spans="1:21" ht="12.75">
      <c r="A11" s="2"/>
      <c r="B11" s="2"/>
      <c r="C11" s="2"/>
      <c r="D11" s="2"/>
      <c r="E11" s="2"/>
      <c r="F11" s="174"/>
      <c r="G11" s="2"/>
      <c r="H11" s="174"/>
      <c r="I11" s="2"/>
      <c r="J11" s="2"/>
      <c r="K11" s="2"/>
      <c r="L11" s="2"/>
      <c r="M11" s="2"/>
      <c r="N11" s="2"/>
      <c r="O11" s="2"/>
      <c r="P11" s="2"/>
      <c r="Q11" s="2"/>
      <c r="R11" s="2"/>
      <c r="S11" s="2"/>
      <c r="T11" s="2"/>
      <c r="U11" s="2"/>
    </row>
    <row r="12" spans="1:21" ht="12.75">
      <c r="A12" s="2"/>
      <c r="B12" s="2"/>
      <c r="C12" s="4" t="s">
        <v>480</v>
      </c>
      <c r="D12" s="2"/>
      <c r="E12" s="2"/>
      <c r="F12" s="174"/>
      <c r="G12" s="2"/>
      <c r="H12" s="174"/>
      <c r="I12" s="2"/>
      <c r="J12" s="2"/>
      <c r="K12" s="2"/>
      <c r="L12" s="2"/>
      <c r="M12" s="2"/>
      <c r="N12" s="2"/>
      <c r="O12" s="2"/>
      <c r="P12" s="2"/>
      <c r="Q12" s="2"/>
      <c r="R12" s="2"/>
      <c r="S12" s="2"/>
      <c r="T12" s="2"/>
      <c r="U12" s="2"/>
    </row>
    <row r="13" spans="1:21" ht="13.5">
      <c r="A13" s="3"/>
      <c r="B13" s="2"/>
      <c r="C13" s="68" t="s">
        <v>496</v>
      </c>
      <c r="D13" s="68"/>
      <c r="E13" s="2"/>
      <c r="F13" s="171"/>
      <c r="G13" s="2"/>
      <c r="H13" s="171"/>
      <c r="I13" s="2"/>
      <c r="J13" s="2"/>
      <c r="K13" s="2"/>
      <c r="L13" s="2"/>
      <c r="M13" s="2"/>
      <c r="N13" s="2"/>
      <c r="O13" s="2"/>
      <c r="P13" s="2"/>
      <c r="Q13" s="2"/>
      <c r="R13" s="2"/>
      <c r="S13" s="2"/>
      <c r="T13" s="2"/>
      <c r="U13" s="2"/>
    </row>
    <row r="14" spans="1:21" ht="12.75">
      <c r="A14" s="3">
        <v>1</v>
      </c>
      <c r="B14" s="2"/>
      <c r="C14" s="174" t="s">
        <v>596</v>
      </c>
      <c r="D14" s="2"/>
      <c r="E14" s="2"/>
      <c r="F14" s="171">
        <v>18236.134907879212</v>
      </c>
      <c r="G14" s="2"/>
      <c r="H14" s="171">
        <f>+'WP C-1'!T11+'WP C-1'!T12+'WP C-1'!T32</f>
        <v>-53683.86509212079</v>
      </c>
      <c r="I14" s="2"/>
      <c r="J14" s="2" t="s">
        <v>472</v>
      </c>
      <c r="K14" s="2"/>
      <c r="L14" s="2"/>
      <c r="M14" s="2"/>
      <c r="N14" s="2"/>
      <c r="O14" s="2"/>
      <c r="P14" s="2"/>
      <c r="Q14" s="2"/>
      <c r="R14" s="2"/>
      <c r="S14" s="2"/>
      <c r="T14" s="2"/>
      <c r="U14" s="2"/>
    </row>
    <row r="15" spans="1:21" ht="12.75">
      <c r="A15" s="3">
        <v>2</v>
      </c>
      <c r="B15" s="2"/>
      <c r="C15" s="174" t="s">
        <v>596</v>
      </c>
      <c r="D15" s="2"/>
      <c r="E15" s="2"/>
      <c r="F15" s="171">
        <v>1198</v>
      </c>
      <c r="G15" s="2"/>
      <c r="H15" s="171">
        <v>1198</v>
      </c>
      <c r="I15" s="2"/>
      <c r="J15" s="2" t="s">
        <v>538</v>
      </c>
      <c r="K15" s="2"/>
      <c r="L15" s="2"/>
      <c r="M15" s="2"/>
      <c r="N15" s="2"/>
      <c r="O15" s="2"/>
      <c r="P15" s="2"/>
      <c r="Q15" s="2"/>
      <c r="R15" s="2"/>
      <c r="S15" s="2"/>
      <c r="T15" s="2"/>
      <c r="U15" s="2"/>
    </row>
    <row r="16" spans="1:21" ht="13.5">
      <c r="A16" s="3">
        <v>3</v>
      </c>
      <c r="B16" s="2"/>
      <c r="C16" s="632" t="s">
        <v>497</v>
      </c>
      <c r="D16" s="68"/>
      <c r="E16" s="2"/>
      <c r="F16" s="171"/>
      <c r="G16" s="2"/>
      <c r="H16" s="171"/>
      <c r="I16" s="2"/>
      <c r="J16" s="2"/>
      <c r="K16" s="2"/>
      <c r="L16" s="2"/>
      <c r="M16" s="2"/>
      <c r="N16" s="2"/>
      <c r="O16" s="2"/>
      <c r="P16" s="2"/>
      <c r="Q16" s="2"/>
      <c r="R16" s="2"/>
      <c r="S16" s="2"/>
      <c r="T16" s="2"/>
      <c r="U16" s="2"/>
    </row>
    <row r="17" spans="1:21" ht="13.5" thickBot="1">
      <c r="A17" s="3">
        <v>4</v>
      </c>
      <c r="B17" s="2"/>
      <c r="C17" s="174" t="s">
        <v>596</v>
      </c>
      <c r="D17" s="2"/>
      <c r="E17" s="2"/>
      <c r="F17" s="202">
        <v>3030.4321802809172</v>
      </c>
      <c r="G17" s="2"/>
      <c r="H17" s="202">
        <f>+'WP C-1'!T13</f>
        <v>3030.4321802809172</v>
      </c>
      <c r="I17" s="2"/>
      <c r="J17" s="2" t="s">
        <v>472</v>
      </c>
      <c r="K17" s="2"/>
      <c r="L17" s="2"/>
      <c r="M17" s="2"/>
      <c r="N17" s="2"/>
      <c r="O17" s="2"/>
      <c r="P17" s="2"/>
      <c r="Q17" s="2"/>
      <c r="R17" s="2"/>
      <c r="S17" s="2"/>
      <c r="T17" s="2"/>
      <c r="U17" s="2"/>
    </row>
    <row r="18" spans="1:21" ht="13.5">
      <c r="A18" s="3">
        <v>5</v>
      </c>
      <c r="B18" s="2"/>
      <c r="C18" s="632" t="s">
        <v>491</v>
      </c>
      <c r="D18" s="2"/>
      <c r="E18" s="2"/>
      <c r="F18" s="171">
        <v>22464.56708816013</v>
      </c>
      <c r="G18" s="2"/>
      <c r="H18" s="171">
        <f>SUM(H13:H17)</f>
        <v>-49455.432911839875</v>
      </c>
      <c r="I18" s="2"/>
      <c r="J18" s="2"/>
      <c r="K18" s="2"/>
      <c r="L18" s="2"/>
      <c r="M18" s="2"/>
      <c r="N18" s="2"/>
      <c r="O18" s="2"/>
      <c r="P18" s="2"/>
      <c r="Q18" s="2"/>
      <c r="R18" s="2"/>
      <c r="S18" s="2"/>
      <c r="T18" s="2"/>
      <c r="U18" s="2"/>
    </row>
    <row r="19" spans="1:21" ht="12.75">
      <c r="A19" s="3" t="s">
        <v>439</v>
      </c>
      <c r="B19" s="2"/>
      <c r="C19" s="174" t="s">
        <v>439</v>
      </c>
      <c r="D19" s="2"/>
      <c r="E19" s="2"/>
      <c r="F19" s="171"/>
      <c r="G19" s="2"/>
      <c r="H19" s="171"/>
      <c r="I19" s="2"/>
      <c r="J19" s="2"/>
      <c r="K19" s="2"/>
      <c r="L19" s="2"/>
      <c r="M19" s="2"/>
      <c r="N19" s="2"/>
      <c r="O19" s="2"/>
      <c r="P19" s="2"/>
      <c r="Q19" s="2"/>
      <c r="R19" s="2"/>
      <c r="S19" s="2"/>
      <c r="T19" s="2"/>
      <c r="U19" s="2"/>
    </row>
    <row r="20" spans="1:21" ht="12.75">
      <c r="A20" s="3" t="s">
        <v>439</v>
      </c>
      <c r="B20" s="2"/>
      <c r="C20" s="633" t="s">
        <v>423</v>
      </c>
      <c r="D20" s="4"/>
      <c r="E20" s="2"/>
      <c r="F20" s="171"/>
      <c r="G20" s="2"/>
      <c r="H20" s="171"/>
      <c r="I20" s="2"/>
      <c r="J20" s="2"/>
      <c r="K20" s="2"/>
      <c r="L20" s="2"/>
      <c r="M20" s="2"/>
      <c r="N20" s="2"/>
      <c r="O20" s="2"/>
      <c r="P20" s="2"/>
      <c r="Q20" s="2"/>
      <c r="R20" s="2"/>
      <c r="S20" s="2"/>
      <c r="T20" s="2"/>
      <c r="U20" s="2"/>
    </row>
    <row r="21" spans="1:21" ht="13.5">
      <c r="A21" s="3" t="s">
        <v>439</v>
      </c>
      <c r="B21" s="2"/>
      <c r="C21" s="632" t="s">
        <v>424</v>
      </c>
      <c r="D21" s="68"/>
      <c r="E21" s="2"/>
      <c r="F21" s="171"/>
      <c r="G21" s="2"/>
      <c r="H21" s="171"/>
      <c r="I21" s="2"/>
      <c r="J21" s="2"/>
      <c r="K21" s="2"/>
      <c r="L21" s="2"/>
      <c r="M21" s="2"/>
      <c r="N21" s="2"/>
      <c r="O21" s="2"/>
      <c r="P21" s="2"/>
      <c r="Q21" s="2"/>
      <c r="R21" s="2"/>
      <c r="S21" s="2"/>
      <c r="T21" s="2"/>
      <c r="U21" s="2"/>
    </row>
    <row r="22" spans="1:21" ht="12.75">
      <c r="A22" s="3">
        <v>6</v>
      </c>
      <c r="B22" s="2"/>
      <c r="C22" s="174" t="s">
        <v>598</v>
      </c>
      <c r="D22" s="2"/>
      <c r="E22" s="2"/>
      <c r="F22" s="171">
        <v>3610.7171985300247</v>
      </c>
      <c r="G22" s="2"/>
      <c r="H22" s="171">
        <f>+'WP C-1'!T14</f>
        <v>3610.7171985300247</v>
      </c>
      <c r="I22" s="2"/>
      <c r="J22" s="2" t="s">
        <v>472</v>
      </c>
      <c r="K22" s="2"/>
      <c r="L22" s="2"/>
      <c r="M22" s="2"/>
      <c r="N22" s="2"/>
      <c r="O22" s="2"/>
      <c r="P22" s="2"/>
      <c r="Q22" s="2"/>
      <c r="R22" s="2"/>
      <c r="S22" s="2"/>
      <c r="T22" s="2"/>
      <c r="U22" s="2"/>
    </row>
    <row r="23" spans="1:21" ht="12.75">
      <c r="A23" s="3">
        <v>7</v>
      </c>
      <c r="B23" s="2"/>
      <c r="C23" s="174" t="s">
        <v>598</v>
      </c>
      <c r="D23" s="2"/>
      <c r="E23" s="2"/>
      <c r="F23" s="171">
        <v>1498</v>
      </c>
      <c r="G23" s="2"/>
      <c r="H23" s="171">
        <v>1498</v>
      </c>
      <c r="I23" s="2"/>
      <c r="J23" s="2" t="s">
        <v>538</v>
      </c>
      <c r="K23" s="2"/>
      <c r="L23" s="2"/>
      <c r="M23" s="2"/>
      <c r="N23" s="2"/>
      <c r="O23" s="2"/>
      <c r="P23" s="2"/>
      <c r="Q23" s="2"/>
      <c r="R23" s="2"/>
      <c r="S23" s="2"/>
      <c r="T23" s="2"/>
      <c r="U23" s="2"/>
    </row>
    <row r="24" spans="1:21" ht="12.75">
      <c r="A24" s="3">
        <v>8</v>
      </c>
      <c r="B24" s="2"/>
      <c r="C24" s="174" t="s">
        <v>599</v>
      </c>
      <c r="D24" s="2"/>
      <c r="E24" s="2"/>
      <c r="F24" s="171">
        <v>9347.254516783163</v>
      </c>
      <c r="G24" s="2"/>
      <c r="H24" s="171">
        <f>+'WP C-1'!T15</f>
        <v>9347.254516783163</v>
      </c>
      <c r="I24" s="2"/>
      <c r="J24" s="2" t="s">
        <v>472</v>
      </c>
      <c r="K24" s="2"/>
      <c r="L24" s="2"/>
      <c r="M24" s="2"/>
      <c r="N24" s="2"/>
      <c r="O24" s="2"/>
      <c r="P24" s="2"/>
      <c r="Q24" s="2"/>
      <c r="R24" s="2"/>
      <c r="S24" s="2"/>
      <c r="T24" s="2"/>
      <c r="U24" s="2"/>
    </row>
    <row r="25" spans="1:21" ht="12.75">
      <c r="A25" s="3">
        <v>9</v>
      </c>
      <c r="B25" s="2"/>
      <c r="C25" s="174" t="s">
        <v>599</v>
      </c>
      <c r="D25" s="2"/>
      <c r="E25" s="2"/>
      <c r="F25" s="171">
        <v>1331</v>
      </c>
      <c r="G25" s="2"/>
      <c r="H25" s="171">
        <v>1331</v>
      </c>
      <c r="I25" s="2"/>
      <c r="J25" s="2" t="s">
        <v>538</v>
      </c>
      <c r="K25" s="2"/>
      <c r="L25" s="2"/>
      <c r="M25" s="2"/>
      <c r="N25" s="2"/>
      <c r="O25" s="2"/>
      <c r="P25" s="2"/>
      <c r="Q25" s="2"/>
      <c r="R25" s="2"/>
      <c r="S25" s="2"/>
      <c r="T25" s="2"/>
      <c r="U25" s="2"/>
    </row>
    <row r="26" spans="1:21" ht="12.75">
      <c r="A26" s="3">
        <v>10</v>
      </c>
      <c r="B26" s="2"/>
      <c r="C26" s="174" t="s">
        <v>606</v>
      </c>
      <c r="D26" s="2"/>
      <c r="E26" s="2"/>
      <c r="F26" s="171">
        <v>3417.2675993546964</v>
      </c>
      <c r="G26" s="2"/>
      <c r="H26" s="171">
        <f>(12301/'Schedule D'!I17)*'Schedule D-1'!O40-12301</f>
        <v>3417.2675993546964</v>
      </c>
      <c r="I26" s="2"/>
      <c r="J26" s="2" t="s">
        <v>471</v>
      </c>
      <c r="K26" s="2"/>
      <c r="L26" s="2"/>
      <c r="M26" s="2"/>
      <c r="N26" s="2"/>
      <c r="O26" s="2"/>
      <c r="P26" s="2"/>
      <c r="Q26" s="2"/>
      <c r="R26" s="2"/>
      <c r="S26" s="2"/>
      <c r="T26" s="2"/>
      <c r="U26" s="2"/>
    </row>
    <row r="27" spans="1:21" ht="13.5" thickBot="1">
      <c r="A27" s="3">
        <v>11</v>
      </c>
      <c r="B27" s="2"/>
      <c r="C27" s="174" t="s">
        <v>605</v>
      </c>
      <c r="D27" s="2"/>
      <c r="E27" s="2"/>
      <c r="F27" s="202">
        <v>3500</v>
      </c>
      <c r="G27" s="2"/>
      <c r="H27" s="202">
        <f>1850*12-18700</f>
        <v>3500</v>
      </c>
      <c r="I27" s="2"/>
      <c r="J27" s="2" t="s">
        <v>471</v>
      </c>
      <c r="K27" s="2"/>
      <c r="L27" s="2"/>
      <c r="M27" s="2"/>
      <c r="N27" s="2"/>
      <c r="O27" s="2"/>
      <c r="P27" s="2"/>
      <c r="Q27" s="2"/>
      <c r="R27" s="2"/>
      <c r="S27" s="2"/>
      <c r="T27" s="2"/>
      <c r="U27" s="2"/>
    </row>
    <row r="28" spans="1:21" ht="13.5">
      <c r="A28" s="3">
        <v>12</v>
      </c>
      <c r="B28" s="2"/>
      <c r="C28" s="632" t="s">
        <v>491</v>
      </c>
      <c r="D28" s="68"/>
      <c r="E28" s="2"/>
      <c r="F28" s="171">
        <v>22704.239314667884</v>
      </c>
      <c r="G28" s="2"/>
      <c r="H28" s="171">
        <f>SUM(H21:H27)</f>
        <v>22704.239314667884</v>
      </c>
      <c r="I28" s="2"/>
      <c r="J28" s="2"/>
      <c r="K28" s="2"/>
      <c r="L28" s="2"/>
      <c r="M28" s="2"/>
      <c r="N28" s="2"/>
      <c r="O28" s="2"/>
      <c r="P28" s="2"/>
      <c r="Q28" s="2"/>
      <c r="R28" s="2"/>
      <c r="S28" s="2"/>
      <c r="T28" s="2"/>
      <c r="U28" s="2"/>
    </row>
    <row r="29" spans="1:21" ht="12.75">
      <c r="A29" s="3" t="s">
        <v>439</v>
      </c>
      <c r="B29" s="2"/>
      <c r="C29" s="174" t="s">
        <v>439</v>
      </c>
      <c r="D29" s="2"/>
      <c r="E29" s="2"/>
      <c r="F29" s="171"/>
      <c r="G29" s="2"/>
      <c r="H29" s="171"/>
      <c r="I29" s="2"/>
      <c r="J29" s="2"/>
      <c r="K29" s="2"/>
      <c r="L29" s="2"/>
      <c r="M29" s="2"/>
      <c r="N29" s="2"/>
      <c r="O29" s="2"/>
      <c r="P29" s="2"/>
      <c r="Q29" s="2"/>
      <c r="R29" s="2"/>
      <c r="S29" s="2"/>
      <c r="T29" s="2"/>
      <c r="U29" s="2"/>
    </row>
    <row r="30" spans="1:21" ht="12.75">
      <c r="A30" s="3" t="s">
        <v>439</v>
      </c>
      <c r="B30" s="2"/>
      <c r="C30" s="633" t="s">
        <v>494</v>
      </c>
      <c r="D30" s="4"/>
      <c r="E30" s="2"/>
      <c r="F30" s="171"/>
      <c r="G30" s="2"/>
      <c r="H30" s="171"/>
      <c r="I30" s="2"/>
      <c r="J30" s="2"/>
      <c r="K30" s="2"/>
      <c r="L30" s="2"/>
      <c r="M30" s="2"/>
      <c r="N30" s="2"/>
      <c r="O30" s="2"/>
      <c r="P30" s="2"/>
      <c r="Q30" s="2"/>
      <c r="R30" s="2"/>
      <c r="S30" s="2"/>
      <c r="T30" s="2"/>
      <c r="U30" s="2"/>
    </row>
    <row r="31" spans="1:21" ht="12.75">
      <c r="A31" s="3">
        <v>13</v>
      </c>
      <c r="B31" s="2"/>
      <c r="C31" s="174" t="s">
        <v>600</v>
      </c>
      <c r="D31" s="2"/>
      <c r="E31" s="2"/>
      <c r="F31" s="171">
        <v>22366.17294410446</v>
      </c>
      <c r="G31" s="2"/>
      <c r="H31" s="171">
        <f>+'WP C-1'!T33+'WP C-1'!T16</f>
        <v>-72633.82705589554</v>
      </c>
      <c r="I31" s="2"/>
      <c r="J31" s="2" t="s">
        <v>472</v>
      </c>
      <c r="K31" s="2"/>
      <c r="L31" s="2"/>
      <c r="M31" s="2"/>
      <c r="N31" s="2"/>
      <c r="O31" s="2"/>
      <c r="P31" s="2"/>
      <c r="Q31" s="2"/>
      <c r="R31" s="2"/>
      <c r="S31" s="2"/>
      <c r="T31" s="2"/>
      <c r="U31" s="2"/>
    </row>
    <row r="32" spans="1:21" ht="12.75">
      <c r="A32" s="3">
        <v>14</v>
      </c>
      <c r="B32" s="2"/>
      <c r="C32" s="174" t="s">
        <v>600</v>
      </c>
      <c r="D32" s="2"/>
      <c r="E32" s="2"/>
      <c r="F32" s="171">
        <v>300</v>
      </c>
      <c r="G32" s="2"/>
      <c r="H32" s="171">
        <v>300</v>
      </c>
      <c r="I32" s="2"/>
      <c r="J32" s="2" t="s">
        <v>538</v>
      </c>
      <c r="K32" s="2"/>
      <c r="L32" s="2"/>
      <c r="M32" s="2"/>
      <c r="N32" s="2"/>
      <c r="O32" s="2"/>
      <c r="P32" s="2"/>
      <c r="Q32" s="2"/>
      <c r="R32" s="2"/>
      <c r="S32" s="2"/>
      <c r="T32" s="2"/>
      <c r="U32" s="2"/>
    </row>
    <row r="33" spans="1:21" ht="12.75">
      <c r="A33" s="3">
        <v>15</v>
      </c>
      <c r="B33" s="2"/>
      <c r="C33" s="174" t="s">
        <v>601</v>
      </c>
      <c r="D33" s="2"/>
      <c r="E33" s="2"/>
      <c r="F33" s="171">
        <v>8744.4864</v>
      </c>
      <c r="G33" s="2"/>
      <c r="H33" s="171">
        <f>525.51*52*0.32</f>
        <v>8744.4864</v>
      </c>
      <c r="I33" s="2"/>
      <c r="J33" s="2" t="s">
        <v>532</v>
      </c>
      <c r="K33" s="2"/>
      <c r="L33" s="2"/>
      <c r="M33" s="2"/>
      <c r="N33" s="2"/>
      <c r="O33" s="2"/>
      <c r="P33" s="2"/>
      <c r="Q33" s="2"/>
      <c r="R33" s="2"/>
      <c r="S33" s="2"/>
      <c r="T33" s="2"/>
      <c r="U33" s="2"/>
    </row>
    <row r="34" spans="1:21" ht="12.75">
      <c r="A34" s="3">
        <v>16</v>
      </c>
      <c r="B34" s="2"/>
      <c r="C34" s="174" t="s">
        <v>602</v>
      </c>
      <c r="D34" s="2"/>
      <c r="E34" s="2"/>
      <c r="F34" s="171">
        <v>3015.9044066905044</v>
      </c>
      <c r="G34" s="2"/>
      <c r="H34" s="171">
        <f>+'WP C-1'!T17</f>
        <v>3015.9044066905044</v>
      </c>
      <c r="I34" s="2"/>
      <c r="J34" s="2" t="s">
        <v>472</v>
      </c>
      <c r="K34" s="2"/>
      <c r="L34" s="2"/>
      <c r="M34" s="2"/>
      <c r="N34" s="2"/>
      <c r="O34" s="2"/>
      <c r="P34" s="2"/>
      <c r="Q34" s="2"/>
      <c r="R34" s="2"/>
      <c r="S34" s="2"/>
      <c r="T34" s="2"/>
      <c r="U34" s="2"/>
    </row>
    <row r="35" spans="1:24" ht="13.5" thickBot="1">
      <c r="A35" s="3">
        <v>17</v>
      </c>
      <c r="B35" s="2"/>
      <c r="C35" s="174" t="s">
        <v>588</v>
      </c>
      <c r="D35" s="2"/>
      <c r="E35" s="2"/>
      <c r="F35" s="202">
        <v>400</v>
      </c>
      <c r="G35" s="2"/>
      <c r="H35" s="202">
        <f>5*80</f>
        <v>400</v>
      </c>
      <c r="I35" s="2"/>
      <c r="J35" s="174" t="s">
        <v>25</v>
      </c>
      <c r="K35" s="174"/>
      <c r="L35" s="174"/>
      <c r="M35" s="174"/>
      <c r="N35" s="174"/>
      <c r="O35" s="174"/>
      <c r="P35" s="174"/>
      <c r="Q35" s="174"/>
      <c r="R35" s="174"/>
      <c r="S35" s="174"/>
      <c r="T35" s="174"/>
      <c r="U35" s="174"/>
      <c r="V35" s="177"/>
      <c r="W35" s="177"/>
      <c r="X35" s="177"/>
    </row>
    <row r="36" spans="1:21" ht="13.5">
      <c r="A36" s="3">
        <v>18</v>
      </c>
      <c r="B36" s="2"/>
      <c r="C36" s="632" t="s">
        <v>491</v>
      </c>
      <c r="D36" s="68"/>
      <c r="E36" s="2"/>
      <c r="F36" s="171">
        <v>34826.563750794965</v>
      </c>
      <c r="G36" s="2"/>
      <c r="H36" s="171">
        <f>SUM(H31:H35)</f>
        <v>-60173.436249205035</v>
      </c>
      <c r="I36" s="2"/>
      <c r="J36" s="2"/>
      <c r="K36" s="2"/>
      <c r="L36" s="2"/>
      <c r="M36" s="2"/>
      <c r="N36" s="2"/>
      <c r="O36" s="2"/>
      <c r="P36" s="2"/>
      <c r="Q36" s="2"/>
      <c r="R36" s="2"/>
      <c r="S36" s="2"/>
      <c r="T36" s="2"/>
      <c r="U36" s="2"/>
    </row>
    <row r="37" spans="1:21" ht="13.5">
      <c r="A37" s="3" t="s">
        <v>439</v>
      </c>
      <c r="B37" s="2"/>
      <c r="C37" s="632"/>
      <c r="D37" s="68"/>
      <c r="E37" s="2"/>
      <c r="F37" s="171"/>
      <c r="G37" s="2"/>
      <c r="H37" s="171"/>
      <c r="I37" s="2"/>
      <c r="J37" s="2"/>
      <c r="K37" s="2"/>
      <c r="L37" s="2"/>
      <c r="M37" s="2"/>
      <c r="N37" s="2"/>
      <c r="O37" s="2"/>
      <c r="P37" s="2"/>
      <c r="Q37" s="2"/>
      <c r="R37" s="2"/>
      <c r="S37" s="2"/>
      <c r="T37" s="2"/>
      <c r="U37" s="2"/>
    </row>
    <row r="38" spans="1:21" ht="13.5">
      <c r="A38" s="3" t="s">
        <v>439</v>
      </c>
      <c r="B38" s="2"/>
      <c r="C38" s="633" t="s">
        <v>426</v>
      </c>
      <c r="D38" s="68"/>
      <c r="E38" s="2"/>
      <c r="F38" s="171"/>
      <c r="G38" s="2"/>
      <c r="H38" s="171"/>
      <c r="I38" s="2"/>
      <c r="J38" s="2"/>
      <c r="K38" s="2"/>
      <c r="L38" s="2"/>
      <c r="M38" s="2"/>
      <c r="N38" s="2"/>
      <c r="O38" s="2"/>
      <c r="P38" s="2"/>
      <c r="Q38" s="2"/>
      <c r="R38" s="2"/>
      <c r="S38" s="2"/>
      <c r="T38" s="2"/>
      <c r="U38" s="2"/>
    </row>
    <row r="39" spans="1:21" ht="13.5">
      <c r="A39" s="3">
        <v>19</v>
      </c>
      <c r="B39" s="2"/>
      <c r="C39" s="174" t="s">
        <v>603</v>
      </c>
      <c r="D39" s="68"/>
      <c r="E39" s="2"/>
      <c r="F39" s="171">
        <v>27566.061246969693</v>
      </c>
      <c r="G39" s="2"/>
      <c r="H39" s="171">
        <f>'Schedule B-1'!I30-'Schedule C'!F46</f>
        <v>27566.061246969693</v>
      </c>
      <c r="I39" s="2"/>
      <c r="J39" s="2" t="s">
        <v>451</v>
      </c>
      <c r="K39" s="2"/>
      <c r="L39" s="2"/>
      <c r="M39" s="2"/>
      <c r="N39" s="2"/>
      <c r="O39" s="2"/>
      <c r="P39" s="2"/>
      <c r="Q39" s="2"/>
      <c r="R39" s="2"/>
      <c r="S39" s="2"/>
      <c r="T39" s="2"/>
      <c r="U39" s="2"/>
    </row>
    <row r="40" spans="1:21" ht="13.5">
      <c r="A40" s="3"/>
      <c r="B40" s="2"/>
      <c r="C40" s="174"/>
      <c r="D40" s="68"/>
      <c r="E40" s="2"/>
      <c r="F40" s="171"/>
      <c r="G40" s="2"/>
      <c r="H40" s="171"/>
      <c r="I40" s="2"/>
      <c r="J40" s="2" t="s">
        <v>416</v>
      </c>
      <c r="K40" s="2"/>
      <c r="L40" s="2"/>
      <c r="M40" s="2"/>
      <c r="N40" s="2"/>
      <c r="O40" s="2"/>
      <c r="P40" s="2"/>
      <c r="Q40" s="2"/>
      <c r="R40" s="2"/>
      <c r="S40" s="2"/>
      <c r="T40" s="2"/>
      <c r="U40" s="2"/>
    </row>
    <row r="41" spans="1:21" ht="12.75">
      <c r="A41" s="3"/>
      <c r="B41" s="2"/>
      <c r="C41" s="633" t="s">
        <v>495</v>
      </c>
      <c r="D41" s="4"/>
      <c r="E41" s="2"/>
      <c r="F41" s="171"/>
      <c r="G41" s="2"/>
      <c r="H41" s="171"/>
      <c r="I41" s="2"/>
      <c r="J41" s="2"/>
      <c r="K41" s="2"/>
      <c r="L41" s="2"/>
      <c r="M41" s="2"/>
      <c r="N41" s="2"/>
      <c r="O41" s="2"/>
      <c r="P41" s="2"/>
      <c r="Q41" s="2"/>
      <c r="R41" s="2"/>
      <c r="S41" s="2"/>
      <c r="T41" s="2"/>
      <c r="U41" s="2"/>
    </row>
    <row r="42" spans="1:21" ht="12.75">
      <c r="A42" s="3">
        <v>20</v>
      </c>
      <c r="B42" s="2"/>
      <c r="C42" s="174" t="s">
        <v>600</v>
      </c>
      <c r="D42" s="2"/>
      <c r="E42" s="2"/>
      <c r="F42" s="171">
        <v>1568.2064381369864</v>
      </c>
      <c r="G42" s="2"/>
      <c r="H42" s="171">
        <f>+'WP C-1'!T18</f>
        <v>1568.2064381369864</v>
      </c>
      <c r="I42" s="2"/>
      <c r="J42" s="2" t="s">
        <v>472</v>
      </c>
      <c r="K42" s="2"/>
      <c r="L42" s="2"/>
      <c r="M42" s="2"/>
      <c r="N42" s="2"/>
      <c r="O42" s="2"/>
      <c r="P42" s="2"/>
      <c r="Q42" s="2"/>
      <c r="R42" s="2"/>
      <c r="S42" s="2"/>
      <c r="T42" s="2"/>
      <c r="U42" s="2"/>
    </row>
    <row r="43" spans="1:21" ht="12.75">
      <c r="A43" s="3">
        <v>21</v>
      </c>
      <c r="B43" s="2"/>
      <c r="C43" s="174" t="s">
        <v>600</v>
      </c>
      <c r="D43" s="2"/>
      <c r="E43" s="2"/>
      <c r="F43" s="171">
        <v>2114</v>
      </c>
      <c r="G43" s="2"/>
      <c r="H43" s="171">
        <v>2114</v>
      </c>
      <c r="I43" s="2"/>
      <c r="J43" s="2" t="s">
        <v>538</v>
      </c>
      <c r="K43" s="2"/>
      <c r="L43" s="2"/>
      <c r="M43" s="2"/>
      <c r="N43" s="2"/>
      <c r="O43" s="2"/>
      <c r="P43" s="2"/>
      <c r="Q43" s="2"/>
      <c r="R43" s="2"/>
      <c r="S43" s="2"/>
      <c r="T43" s="2"/>
      <c r="U43" s="2"/>
    </row>
    <row r="44" spans="1:23" ht="13.5" thickBot="1">
      <c r="A44" s="3">
        <v>22</v>
      </c>
      <c r="B44" s="2"/>
      <c r="C44" s="2" t="s">
        <v>604</v>
      </c>
      <c r="E44" s="2"/>
      <c r="F44" s="202">
        <v>3940.4623070486723</v>
      </c>
      <c r="G44" s="2"/>
      <c r="H44" s="202">
        <f>0.005*'Schedule A-1'!Q17</f>
        <v>3940.4623070486723</v>
      </c>
      <c r="I44" s="2"/>
      <c r="J44" s="174" t="s">
        <v>668</v>
      </c>
      <c r="K44" s="174"/>
      <c r="L44" s="174"/>
      <c r="M44" s="174"/>
      <c r="N44" s="174"/>
      <c r="O44" s="174"/>
      <c r="P44" s="174"/>
      <c r="Q44" s="174"/>
      <c r="R44" s="174"/>
      <c r="S44" s="174"/>
      <c r="T44" s="174"/>
      <c r="U44" s="174"/>
      <c r="V44" s="177"/>
      <c r="W44" s="177"/>
    </row>
    <row r="45" spans="1:21" ht="13.5">
      <c r="A45" s="3">
        <v>23</v>
      </c>
      <c r="B45" s="2"/>
      <c r="C45" s="68" t="s">
        <v>491</v>
      </c>
      <c r="D45" s="68"/>
      <c r="E45" s="2"/>
      <c r="F45" s="171">
        <v>7622.668745185659</v>
      </c>
      <c r="G45" s="2"/>
      <c r="H45" s="171">
        <f>SUM(H42:H44)</f>
        <v>7622.668745185659</v>
      </c>
      <c r="I45" s="2"/>
      <c r="J45" s="2"/>
      <c r="K45" s="2"/>
      <c r="L45" s="2"/>
      <c r="M45" s="2"/>
      <c r="N45" s="2"/>
      <c r="O45" s="2"/>
      <c r="P45" s="2"/>
      <c r="Q45" s="2"/>
      <c r="R45" s="2"/>
      <c r="S45" s="2"/>
      <c r="T45" s="2"/>
      <c r="U45" s="2"/>
    </row>
    <row r="46" spans="1:21" ht="12.75">
      <c r="A46" s="3" t="s">
        <v>439</v>
      </c>
      <c r="B46" s="2"/>
      <c r="C46" s="47" t="s">
        <v>439</v>
      </c>
      <c r="D46" s="47"/>
      <c r="E46" s="2"/>
      <c r="F46" s="171"/>
      <c r="G46" s="2"/>
      <c r="H46" s="171"/>
      <c r="I46" s="2"/>
      <c r="J46" s="2"/>
      <c r="K46" s="2"/>
      <c r="L46" s="2"/>
      <c r="M46" s="2"/>
      <c r="N46" s="2"/>
      <c r="O46" s="2"/>
      <c r="P46" s="2"/>
      <c r="Q46" s="2"/>
      <c r="R46" s="2"/>
      <c r="S46" s="2"/>
      <c r="T46" s="2"/>
      <c r="U46" s="2"/>
    </row>
    <row r="47" spans="1:21" ht="13.5" thickBot="1">
      <c r="A47" s="3">
        <v>24</v>
      </c>
      <c r="B47" s="2"/>
      <c r="C47" s="1" t="s">
        <v>444</v>
      </c>
      <c r="D47" s="1"/>
      <c r="E47" s="2"/>
      <c r="F47" s="203">
        <v>115184.10014577833</v>
      </c>
      <c r="G47" s="2"/>
      <c r="H47" s="203">
        <f>+H45+H36+H28+H18+H39</f>
        <v>-51735.89985422167</v>
      </c>
      <c r="I47" s="2"/>
      <c r="J47" s="2"/>
      <c r="K47" s="2"/>
      <c r="L47" s="2"/>
      <c r="M47" s="2"/>
      <c r="N47" s="2"/>
      <c r="O47" s="2"/>
      <c r="P47" s="2"/>
      <c r="Q47" s="2"/>
      <c r="R47" s="2"/>
      <c r="S47" s="2"/>
      <c r="T47" s="2"/>
      <c r="U47" s="2"/>
    </row>
    <row r="48" spans="1:21" ht="13.5" thickTop="1">
      <c r="A48" s="3" t="s">
        <v>439</v>
      </c>
      <c r="B48" s="2"/>
      <c r="C48" s="2"/>
      <c r="D48" s="2"/>
      <c r="E48" s="2"/>
      <c r="F48" s="174"/>
      <c r="G48" s="2"/>
      <c r="H48" s="2"/>
      <c r="I48" s="2"/>
      <c r="J48" s="2"/>
      <c r="K48" s="2"/>
      <c r="L48" s="2"/>
      <c r="M48" s="2"/>
      <c r="N48" s="2"/>
      <c r="O48" s="2"/>
      <c r="P48" s="2"/>
      <c r="Q48" s="2"/>
      <c r="R48" s="2"/>
      <c r="S48" s="2"/>
      <c r="T48" s="2"/>
      <c r="U48" s="2"/>
    </row>
    <row r="49" spans="1:21" ht="12.75">
      <c r="A49" s="3" t="s">
        <v>439</v>
      </c>
      <c r="B49" s="2"/>
      <c r="C49" s="2"/>
      <c r="D49" s="2"/>
      <c r="E49" s="2"/>
      <c r="F49" s="2"/>
      <c r="G49" s="2"/>
      <c r="H49" s="2"/>
      <c r="I49" s="2"/>
      <c r="J49" s="2"/>
      <c r="K49" s="2"/>
      <c r="L49" s="2"/>
      <c r="M49" s="2"/>
      <c r="N49" s="2"/>
      <c r="O49" s="2"/>
      <c r="P49" s="2"/>
      <c r="Q49" s="2"/>
      <c r="R49" s="2"/>
      <c r="S49" s="2"/>
      <c r="T49" s="2"/>
      <c r="U49" s="2"/>
    </row>
    <row r="50" spans="1:21" ht="12.75">
      <c r="A50" s="3" t="s">
        <v>439</v>
      </c>
      <c r="B50" s="2"/>
      <c r="C50" s="2"/>
      <c r="D50" s="2"/>
      <c r="E50" s="2"/>
      <c r="F50" s="2"/>
      <c r="G50" s="2"/>
      <c r="H50" s="2"/>
      <c r="I50" s="2"/>
      <c r="J50" s="2"/>
      <c r="K50" s="2"/>
      <c r="L50" s="2"/>
      <c r="M50" s="2"/>
      <c r="N50" s="2"/>
      <c r="O50" s="2"/>
      <c r="P50" s="2"/>
      <c r="Q50" s="2"/>
      <c r="R50" s="2"/>
      <c r="S50" s="2"/>
      <c r="T50" s="2"/>
      <c r="U50" s="2"/>
    </row>
    <row r="51" spans="1:21" ht="12.75">
      <c r="A51" s="3" t="s">
        <v>439</v>
      </c>
      <c r="B51" s="2"/>
      <c r="C51" s="2"/>
      <c r="D51" s="2"/>
      <c r="E51" s="2"/>
      <c r="F51" s="2"/>
      <c r="G51" s="2"/>
      <c r="H51" s="2"/>
      <c r="I51" s="2"/>
      <c r="J51" s="2"/>
      <c r="K51" s="2"/>
      <c r="L51" s="2"/>
      <c r="M51" s="2"/>
      <c r="N51" s="2"/>
      <c r="O51" s="2"/>
      <c r="P51" s="2"/>
      <c r="Q51" s="2"/>
      <c r="R51" s="2"/>
      <c r="S51" s="2"/>
      <c r="T51" s="2"/>
      <c r="U51" s="2"/>
    </row>
    <row r="52" spans="1:21" ht="12.75">
      <c r="A52" s="3" t="s">
        <v>439</v>
      </c>
      <c r="B52" s="2"/>
      <c r="E52" s="2"/>
      <c r="F52" s="2"/>
      <c r="G52" s="2"/>
      <c r="H52" s="2"/>
      <c r="I52" s="2"/>
      <c r="J52" s="2"/>
      <c r="K52" s="2"/>
      <c r="L52" s="2"/>
      <c r="M52" s="2"/>
      <c r="N52" s="2"/>
      <c r="O52" s="2"/>
      <c r="P52" s="2"/>
      <c r="Q52" s="2"/>
      <c r="R52" s="2"/>
      <c r="S52" s="2"/>
      <c r="T52" s="2"/>
      <c r="U52" s="2"/>
    </row>
    <row r="53" spans="1:21" ht="12.75">
      <c r="A53" s="3" t="s">
        <v>439</v>
      </c>
      <c r="B53" s="2"/>
      <c r="E53" s="2"/>
      <c r="F53" s="2"/>
      <c r="G53" s="2"/>
      <c r="H53" s="2"/>
      <c r="I53" s="2"/>
      <c r="J53" s="2"/>
      <c r="K53" s="2"/>
      <c r="L53" s="2"/>
      <c r="M53" s="2"/>
      <c r="N53" s="2"/>
      <c r="O53" s="2"/>
      <c r="P53" s="2"/>
      <c r="Q53" s="2"/>
      <c r="R53" s="2"/>
      <c r="S53" s="2"/>
      <c r="T53" s="2"/>
      <c r="U53" s="2"/>
    </row>
  </sheetData>
  <mergeCells count="3">
    <mergeCell ref="C10:D10"/>
    <mergeCell ref="J8:O8"/>
    <mergeCell ref="J10:O10"/>
  </mergeCells>
  <printOptions horizontalCentered="1"/>
  <pageMargins left="0.25" right="0.25" top="1" bottom="0.75" header="0.26" footer="0.5"/>
  <pageSetup fitToHeight="1" fitToWidth="1" horizontalDpi="600" verticalDpi="600" orientation="landscape" scale="79" r:id="rId1"/>
  <headerFooter alignWithMargins="0">
    <oddFooter>&amp;LGUD No. 9731&amp;RFinal Order</oddFooter>
  </headerFooter>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Railroad Commission</cp:lastModifiedBy>
  <cp:lastPrinted>2007-11-06T16:08:30Z</cp:lastPrinted>
  <dcterms:created xsi:type="dcterms:W3CDTF">1970-01-01T05:00:00Z</dcterms:created>
  <dcterms:modified xsi:type="dcterms:W3CDTF">2007-11-06T16:14:28Z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